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1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F100" i="4" l="1"/>
  <c r="F99" i="4"/>
  <c r="F98" i="4"/>
  <c r="F97" i="4"/>
  <c r="F127" i="4"/>
  <c r="H17" i="4" l="1"/>
  <c r="F67" i="4" l="1"/>
  <c r="F70" i="4"/>
  <c r="F69" i="4"/>
  <c r="F68" i="4"/>
  <c r="F49" i="4"/>
  <c r="F4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1" i="4" l="1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H49" i="4"/>
  <c r="H48" i="4"/>
  <c r="H47" i="4"/>
  <c r="H46" i="4"/>
  <c r="H45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0" i="4"/>
  <c r="H51" i="4" s="1"/>
  <c r="H52" i="4" s="1"/>
  <c r="C57" i="4" s="1"/>
  <c r="I36" i="4"/>
  <c r="I35" i="4"/>
  <c r="I72" i="4"/>
  <c r="D11" i="8" s="1"/>
  <c r="G57" i="4" l="1"/>
  <c r="D6" i="8" s="1"/>
  <c r="I37" i="4"/>
  <c r="D12" i="8" s="1"/>
  <c r="H188" i="4" l="1"/>
  <c r="G188" i="4"/>
  <c r="H186" i="4"/>
  <c r="G186" i="4"/>
  <c r="I186" i="4" s="1"/>
  <c r="I188" i="4" l="1"/>
  <c r="H184" i="4"/>
  <c r="G184" i="4"/>
  <c r="H183" i="4"/>
  <c r="G183" i="4"/>
  <c r="H181" i="4"/>
  <c r="H180" i="4"/>
  <c r="G181" i="4"/>
  <c r="G180" i="4"/>
  <c r="H178" i="4"/>
  <c r="G178" i="4"/>
  <c r="H177" i="4"/>
  <c r="G177" i="4"/>
  <c r="H176" i="4"/>
  <c r="G176" i="4"/>
  <c r="H175" i="4"/>
  <c r="G175" i="4"/>
  <c r="H174" i="4"/>
  <c r="G174" i="4"/>
  <c r="H173" i="4"/>
  <c r="G173" i="4"/>
  <c r="H172" i="4"/>
  <c r="G172" i="4"/>
  <c r="H171" i="4"/>
  <c r="G171" i="4"/>
  <c r="H170" i="4"/>
  <c r="F170" i="4"/>
  <c r="G170" i="4" s="1"/>
  <c r="H169" i="4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8" i="4"/>
  <c r="G148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2" i="4"/>
  <c r="G132" i="4"/>
  <c r="H130" i="4"/>
  <c r="H129" i="4"/>
  <c r="H128" i="4"/>
  <c r="G128" i="4"/>
  <c r="G129" i="4"/>
  <c r="G130" i="4"/>
  <c r="H127" i="4"/>
  <c r="H126" i="4"/>
  <c r="H124" i="4"/>
  <c r="H122" i="4"/>
  <c r="H121" i="4"/>
  <c r="H120" i="4"/>
  <c r="H119" i="4"/>
  <c r="H118" i="4"/>
  <c r="I181" i="4" l="1"/>
  <c r="I133" i="4"/>
  <c r="I135" i="4"/>
  <c r="I137" i="4"/>
  <c r="I145" i="4"/>
  <c r="I148" i="4"/>
  <c r="I150" i="4"/>
  <c r="I152" i="4"/>
  <c r="I154" i="4"/>
  <c r="I156" i="4"/>
  <c r="I158" i="4"/>
  <c r="I162" i="4"/>
  <c r="I164" i="4"/>
  <c r="I166" i="4"/>
  <c r="I168" i="4"/>
  <c r="I170" i="4"/>
  <c r="I172" i="4"/>
  <c r="I174" i="4"/>
  <c r="I176" i="4"/>
  <c r="I178" i="4"/>
  <c r="I184" i="4"/>
  <c r="I129" i="4"/>
  <c r="I132" i="4"/>
  <c r="I134" i="4"/>
  <c r="I136" i="4"/>
  <c r="I138" i="4"/>
  <c r="I140" i="4"/>
  <c r="I142" i="4"/>
  <c r="I144" i="4"/>
  <c r="I151" i="4"/>
  <c r="I153" i="4"/>
  <c r="I157" i="4"/>
  <c r="I159" i="4"/>
  <c r="I161" i="4"/>
  <c r="I165" i="4"/>
  <c r="I167" i="4"/>
  <c r="I169" i="4"/>
  <c r="I177" i="4"/>
  <c r="I180" i="4"/>
  <c r="I183" i="4"/>
  <c r="I128" i="4"/>
  <c r="I139" i="4"/>
  <c r="I141" i="4"/>
  <c r="I143" i="4"/>
  <c r="I160" i="4"/>
  <c r="I146" i="4"/>
  <c r="I149" i="4"/>
  <c r="I155" i="4"/>
  <c r="I163" i="4"/>
  <c r="I171" i="4"/>
  <c r="I173" i="4"/>
  <c r="I175" i="4"/>
  <c r="I130" i="4"/>
  <c r="G127" i="4"/>
  <c r="I127" i="4" s="1"/>
  <c r="G126" i="4"/>
  <c r="I126" i="4" s="1"/>
  <c r="G124" i="4"/>
  <c r="I124" i="4" s="1"/>
  <c r="G122" i="4"/>
  <c r="I122" i="4" s="1"/>
  <c r="G121" i="4"/>
  <c r="I121" i="4" s="1"/>
  <c r="G120" i="4"/>
  <c r="I120" i="4" s="1"/>
  <c r="G119" i="4"/>
  <c r="I119" i="4" s="1"/>
  <c r="G118" i="4"/>
  <c r="I118" i="4" s="1"/>
  <c r="I189" i="4" l="1"/>
  <c r="D13" i="8" s="1"/>
  <c r="D9" i="8" s="1"/>
  <c r="H101" i="4"/>
  <c r="H102" i="4"/>
  <c r="H98" i="4"/>
  <c r="H99" i="4"/>
  <c r="H100" i="4"/>
  <c r="H97" i="4"/>
  <c r="H96" i="4"/>
  <c r="H95" i="4"/>
  <c r="H94" i="4"/>
  <c r="H93" i="4"/>
  <c r="H92" i="4"/>
  <c r="H91" i="4"/>
  <c r="H90" i="4"/>
  <c r="H103" i="4" l="1"/>
  <c r="H104" i="4" l="1"/>
  <c r="H105" i="4" l="1"/>
  <c r="C110" i="4" s="1"/>
  <c r="G110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<sst xmlns="http://schemas.openxmlformats.org/spreadsheetml/2006/main" count="441" uniqueCount="246">
  <si>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</si>
  <si>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</si>
  <si>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</si>
  <si>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</si>
  <si>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</si>
  <si>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</si>
  <si>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</si>
  <si>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</si>
  <si>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Количество этажей -5.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</si>
  <si>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</si>
  <si>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</si>
  <si>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</si>
  <si>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</si>
  <si>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</si>
  <si>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</si>
  <si>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</si>
  <si>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</si>
  <si>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</si>
  <si>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</si>
  <si>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</si>
  <si>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</si>
  <si>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</si>
  <si>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</si>
  <si>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</si>
  <si>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</si>
  <si>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</si>
  <si>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</si>
  <si>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</si>
  <si>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</si>
  <si>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</si>
  <si>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</si>
  <si>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</si>
  <si>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</si>
  <si>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</si>
  <si>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</si>
  <si>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</si>
  <si>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</si>
  <si>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</si>
  <si>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</si>
  <si>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</si>
  <si>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</si>
  <si>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Электромонтёр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</si>
  <si>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</si>
  <si>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</si>
  <si>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</si>
  <si>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</si>
  <si>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</si>
  <si>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</si>
  <si>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</si>
  <si>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</si>
  <si>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</si>
  <si>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</si>
  <si>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</si>
  <si>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</si>
  <si>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</si>
  <si>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</si>
  <si>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</si>
  <si>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</si>
  <si>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</si>
  <si>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</si>
  <si>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</si>
  <si>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</si>
  <si>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</si>
  <si>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</si>
  <si>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</si>
  <si>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</si>
  <si>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</si>
  <si>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</si>
  <si>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</si>
  <si>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</si>
  <si>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</si>
  <si>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</si>
  <si>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</si>
  <si>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</si>
  <si>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</si>
  <si>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</si>
  <si>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</si>
  <si>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</si>
  <si>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</si>
  <si>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</si>
  <si>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</si>
  <si>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</si>
  <si>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</si>
  <si>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</si>
  <si>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</si>
  <si>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</si>
  <si>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</si>
  <si>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</si>
  <si>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</si>
  <si>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</si>
  <si>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</si>
  <si>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</si>
  <si>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</si>
  <si>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</si>
  <si>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</si>
  <si>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</si>
  <si>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</si>
  <si>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</si>
  <si>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</si>
  <si>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</si>
  <si>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</si>
  <si>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</si>
  <si>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</si>
  <si>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</si>
  <si>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</si>
  <si>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</si>
  <si>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</si>
  <si>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</si>
  <si>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</si>
  <si>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</si>
  <si>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</si>
  <si>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</si>
  <si>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</si>
  <si>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</si>
  <si>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</si>
  <si>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</si>
  <si>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</si>
  <si>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</si>
  <si>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</si>
  <si>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</si>
  <si>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</si>
  <si>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</si>
  <si>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</si>
  <si>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</si>
  <si>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</si>
  <si>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</si>
  <si>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</si>
  <si>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</si>
  <si>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</si>
  <si>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</si>
  <si>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</si>
  <si>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</si>
  <si>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</si>
  <si>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</si>
  <si>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</si>
  <si>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</si>
  <si>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</si>
  <si>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</si>
  <si>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</si>
  <si>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</si>
  <si>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</si>
  <si>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</si>
  <si>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</si>
  <si>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</si>
  <si>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</si>
  <si>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</si>
  <si>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</si>
  <si>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</si>
  <si>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</si>
  <si>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</si>
  <si>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</si>
  <si>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</si>
  <si>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</si>
  <si>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</si>
  <si>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</si>
  <si>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</si>
  <si>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</si>
  <si>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</si>
  <si>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</si>
  <si>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</si>
  <si>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</si>
  <si>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</si>
  <si>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</si>
  <si>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</si>
  <si>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</si>
  <si>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</si>
  <si>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</si>
  <si>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</si>
  <si>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</si>
  <si>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</si>
  <si>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</si>
  <si>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</si>
  <si>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</si>
  <si>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</si>
  <si>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</si>
  <si>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</si>
  <si>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</si>
  <si>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</si>
  <si>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</si>
  <si>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</si>
  <si>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</si>
  <si>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</si>
  <si>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</si>
  <si>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</si>
  <si>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</si>
  <si>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</si>
  <si>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</si>
  <si>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</si>
  <si>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</si>
  <si>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</si>
  <si>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</si>
  <si>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</si>
  <si>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</si>
  <si>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</si>
  <si>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</si>
  <si>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</si>
  <si>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</si>
  <si>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</si>
  <si>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</si>
  <si>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</si>
  <si>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</si>
  <si>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</si>
  <si>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</si>
  <si>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</si>
  <si>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</si>
  <si>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</si>
  <si>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</si>
  <si>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</si>
  <si>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</si>
  <si>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</si>
  <si>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</si>
  <si>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</si>
  <si>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</si>
  <si>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</si>
  <si>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</si>
  <si>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</si>
  <si>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</si>
  <si>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</si>
  <si>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</si>
  <si>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</si>
  <si>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Тележка, шт. (к=0,69)</t>
  </si>
  <si>
    <t>Движок, шт. (к=0,69)</t>
  </si>
  <si>
    <t>Лопата штыковая, шт. (к=0,69)</t>
  </si>
  <si>
    <t>Скребок, шт. (к=0,69)</t>
  </si>
  <si>
    <t>Замена разбитых стекол окон, срок эксплуатации дома свыше от 21 до 30 лет</t>
  </si>
  <si>
    <t>Аварийное обслуживание: (0,0010*1973*3*1,08*1,2=8,438)</t>
  </si>
  <si>
    <t>(0,0020*1973*3*1,08*1,2)</t>
  </si>
  <si>
    <t>(0,0010*1973*3*1,08*1,2)</t>
  </si>
  <si>
    <t>Расчёт нормативного расхода и стоимости материальных ресурсов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</si>
  <si>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</si>
  <si>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таб.49:</t>
  </si>
  <si>
    <t>Ремонт просевшей отмостки таб.54:</t>
  </si>
  <si>
    <t>Замена разбитых стёкол в помещениях общего пользования таб.57:</t>
  </si>
  <si>
    <t>Ремонт и укрепление входных дверей таб.60: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</si>
  <si>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</si>
  <si>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таб.68:</t>
  </si>
  <si>
    <t>Проведение технических осмотров и устранение незначительных неисправностей в системе вентиляции таб.72:</t>
  </si>
  <si>
    <t>Дератизация помещений таб.83:</t>
  </si>
  <si>
    <t>Дзинсекция помещений таб.88:</t>
  </si>
  <si>
    <t>Плановая прибыль 10%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</si>
  <si>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№3 мкр.Солнечный, г.Зея  УК ООО "Домино" на 2022 год. </t>
  </si>
  <si>
    <t>Многоквартирный дом общей площадью жилых помещений - 3470,8м2</t>
  </si>
  <si>
    <t>Год постройки - 1991.</t>
  </si>
  <si>
    <t>Срок эксплуатации дома - 30 лет.</t>
  </si>
  <si>
    <t>Расчёт размера платы на содержание и ремонт жилого помещения № 3 мкр.Солнечный, г.Зея  рублей на 1 м2 общей площади с 01.____.2022г.                                         УК ООО "Домино".</t>
  </si>
  <si>
    <t>Уборочная площадь мест общего пользования - 681,5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</si>
</sst>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8"/>
      <color theme="1"/>
      <name val="Verdana"/>
      <family val="2"/>
      <charset val="204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0" applyFont="1"/>
    <xf numFmtId="0" fontId="7" fillId="0" borderId="0" xfId="0" applyFont="1"/>
    <xf numFmtId="0" fontId="5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wrapText="1"/>
    </xf>
    <xf numFmtId="2" fontId="5" fillId="0" borderId="6" xfId="0" applyNumberFormat="1" applyFont="1" applyBorder="1"/>
    <xf numFmtId="0" fontId="1" fillId="0" borderId="6" xfId="0" applyFont="1" applyBorder="1" applyAlignment="1">
      <alignment wrapText="1"/>
    </xf>
    <xf numFmtId="16" fontId="5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2" fillId="0" borderId="6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6" fillId="0" borderId="6" xfId="0" applyFont="1" applyBorder="1"/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/>
    </xf>
    <xf numFmtId="0" fontId="0" fillId="2" borderId="0" xfId="0" applyFill="1"/>
    <xf numFmtId="164" fontId="5" fillId="0" borderId="6" xfId="0" applyNumberFormat="1" applyFont="1" applyBorder="1"/>
    <xf numFmtId="0" fontId="1" fillId="0" borderId="0" xfId="0" applyFont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2" fontId="10" fillId="0" borderId="2" xfId="0" applyNumberFormat="1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11" fillId="0" borderId="13" xfId="0" applyFont="1" applyBorder="1" applyAlignment="1">
      <alignment horizontal="center" wrapText="1"/>
    </xf>
    <xf numFmtId="0" fontId="14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14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4" fillId="0" borderId="6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/>
    </xf>
    <xf numFmtId="0" fontId="14" fillId="2" borderId="6" xfId="0" applyFont="1" applyFill="1" applyBorder="1" applyAlignment="1">
      <alignment vertical="top" wrapText="1"/>
    </xf>
    <xf numFmtId="2" fontId="14" fillId="0" borderId="6" xfId="0" applyNumberFormat="1" applyFont="1" applyBorder="1" applyAlignment="1">
      <alignment horizontal="center" vertical="top"/>
    </xf>
    <xf numFmtId="0" fontId="14" fillId="2" borderId="6" xfId="0" applyFont="1" applyFill="1" applyBorder="1" applyAlignment="1">
      <alignment horizontal="center" vertical="top" wrapText="1"/>
    </xf>
    <xf numFmtId="165" fontId="14" fillId="0" borderId="6" xfId="0" applyNumberFormat="1" applyFont="1" applyBorder="1" applyAlignment="1">
      <alignment horizontal="center" vertical="top" wrapText="1"/>
    </xf>
    <xf numFmtId="0" fontId="14" fillId="0" borderId="6" xfId="0" applyFont="1" applyBorder="1" applyAlignment="1">
      <alignment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vertical="top"/>
    </xf>
    <xf numFmtId="2" fontId="14" fillId="2" borderId="6" xfId="0" applyNumberFormat="1" applyFont="1" applyFill="1" applyBorder="1" applyAlignment="1">
      <alignment horizontal="center" vertical="top"/>
    </xf>
    <xf numFmtId="165" fontId="14" fillId="2" borderId="6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165" fontId="10" fillId="0" borderId="6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center" vertical="top" wrapText="1"/>
    </xf>
    <xf numFmtId="165" fontId="10" fillId="0" borderId="0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1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left" wrapText="1"/>
    </xf>
    <xf numFmtId="165" fontId="14" fillId="0" borderId="2" xfId="0" applyNumberFormat="1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2" fontId="14" fillId="0" borderId="0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 vertical="top" wrapText="1"/>
    </xf>
    <xf numFmtId="165" fontId="14" fillId="0" borderId="6" xfId="0" applyNumberFormat="1" applyFont="1" applyBorder="1" applyAlignment="1">
      <alignment horizontal="center" vertical="top" wrapText="1"/>
    </xf>
    <xf numFmtId="2" fontId="14" fillId="0" borderId="6" xfId="0" applyNumberFormat="1" applyFont="1" applyBorder="1" applyAlignment="1">
      <alignment horizontal="center" vertical="top" wrapText="1"/>
    </xf>
    <xf numFmtId="2" fontId="14" fillId="0" borderId="6" xfId="0" applyNumberFormat="1" applyFont="1" applyBorder="1" applyAlignment="1">
      <alignment vertical="top" wrapText="1"/>
    </xf>
    <xf numFmtId="0" fontId="14" fillId="2" borderId="6" xfId="0" applyFont="1" applyFill="1" applyBorder="1" applyAlignment="1">
      <alignment horizontal="center" vertical="top" wrapText="1"/>
    </xf>
    <xf numFmtId="0" fontId="15" fillId="0" borderId="6" xfId="0" applyFont="1" applyBorder="1" applyAlignment="1">
      <alignment horizontal="right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165" fontId="14" fillId="0" borderId="0" xfId="0" applyNumberFormat="1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center" vertical="top" wrapText="1"/>
    </xf>
    <xf numFmtId="2" fontId="14" fillId="2" borderId="6" xfId="0" applyNumberFormat="1" applyFont="1" applyFill="1" applyBorder="1" applyAlignment="1">
      <alignment horizontal="center" vertical="top" wrapText="1"/>
    </xf>
    <xf numFmtId="2" fontId="10" fillId="0" borderId="4" xfId="0" applyNumberFormat="1" applyFont="1" applyBorder="1" applyAlignment="1">
      <alignment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1" fillId="0" borderId="13" xfId="0" applyFont="1" applyBorder="1" applyAlignment="1">
      <alignment horizontal="left"/>
    </xf>
    <xf numFmtId="164" fontId="14" fillId="2" borderId="6" xfId="0" applyNumberFormat="1" applyFont="1" applyFill="1" applyBorder="1" applyAlignment="1">
      <alignment vertical="top" wrapText="1"/>
    </xf>
    <xf numFmtId="165" fontId="14" fillId="2" borderId="6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165" fontId="14" fillId="0" borderId="1" xfId="0" applyNumberFormat="1" applyFont="1" applyBorder="1" applyAlignment="1">
      <alignment horizontal="center" vertical="top" wrapText="1"/>
    </xf>
    <xf numFmtId="165" fontId="14" fillId="0" borderId="5" xfId="0" applyNumberFormat="1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165" fontId="14" fillId="0" borderId="5" xfId="0" applyNumberFormat="1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42" t="s">
        <v>200</v>
      </c>
      <c r="B2" s="42"/>
      <c r="C2" s="42"/>
      <c r="D2" s="42"/>
      <c r="E2" s="42"/>
    </row>
    <row r="4" spans="1:5" ht="45" x14ac:dyDescent="0.25">
      <c r="A4" s="24" t="s">
        <v>157</v>
      </c>
      <c r="B4" s="24" t="s">
        <v>201</v>
      </c>
      <c r="C4" s="24" t="s">
        <v>202</v>
      </c>
      <c r="D4" s="24" t="s">
        <v>158</v>
      </c>
      <c r="E4" s="24" t="s">
        <v>203</v>
      </c>
    </row>
    <row r="5" spans="1:5" x14ac:dyDescent="0.25">
      <c r="A5" s="25" t="s">
        <v>159</v>
      </c>
      <c r="B5" s="27">
        <v>1</v>
      </c>
      <c r="C5" s="27">
        <v>152.08029999999999</v>
      </c>
      <c r="D5" s="26">
        <v>164.4</v>
      </c>
      <c r="E5" s="27">
        <f>C5*D5</f>
        <v>25002.001319999999</v>
      </c>
    </row>
    <row r="6" spans="1:5" x14ac:dyDescent="0.25">
      <c r="A6" s="25" t="s">
        <v>160</v>
      </c>
      <c r="B6" s="26">
        <v>1.0853999999999999</v>
      </c>
      <c r="C6" s="27">
        <f>C5*B6</f>
        <v>165.06795761999999</v>
      </c>
      <c r="D6" s="26">
        <v>164.4</v>
      </c>
      <c r="E6" s="27">
        <f t="shared" ref="E6:E18" si="0">C6*D6</f>
        <v>27137.172232728</v>
      </c>
    </row>
    <row r="7" spans="1:5" x14ac:dyDescent="0.25">
      <c r="A7" s="25" t="s">
        <v>161</v>
      </c>
      <c r="B7" s="26">
        <v>1.1856</v>
      </c>
      <c r="C7" s="27">
        <f>C5*B7</f>
        <v>180.30640367999999</v>
      </c>
      <c r="D7" s="26">
        <v>164.4</v>
      </c>
      <c r="E7" s="27">
        <f t="shared" si="0"/>
        <v>29642.372764992</v>
      </c>
    </row>
    <row r="8" spans="1:5" x14ac:dyDescent="0.25">
      <c r="A8" s="25" t="s">
        <v>162</v>
      </c>
      <c r="B8" s="26">
        <v>1.3379000000000001</v>
      </c>
      <c r="C8" s="27">
        <f>C5*B8</f>
        <v>203.46823337000001</v>
      </c>
      <c r="D8" s="26">
        <v>164.4</v>
      </c>
      <c r="E8" s="27">
        <f t="shared" si="0"/>
        <v>33450.177566028004</v>
      </c>
    </row>
    <row r="9" spans="1:5" x14ac:dyDescent="0.25">
      <c r="A9" s="25" t="s">
        <v>163</v>
      </c>
      <c r="B9" s="26">
        <v>1.5421</v>
      </c>
      <c r="C9" s="27">
        <f>C5*B9</f>
        <v>234.52303062999999</v>
      </c>
      <c r="D9" s="26">
        <v>164.4</v>
      </c>
      <c r="E9" s="27">
        <f t="shared" si="0"/>
        <v>38555.586235572002</v>
      </c>
    </row>
    <row r="10" spans="1:5" x14ac:dyDescent="0.25">
      <c r="A10" s="25" t="s">
        <v>164</v>
      </c>
      <c r="B10" s="32">
        <v>1.7969999999999999</v>
      </c>
      <c r="C10" s="27">
        <f>C5*B10</f>
        <v>273.28829909999996</v>
      </c>
      <c r="D10" s="26">
        <v>164.4</v>
      </c>
      <c r="E10" s="27">
        <f t="shared" si="0"/>
        <v>44928.596372039996</v>
      </c>
    </row>
    <row r="11" spans="1:5" x14ac:dyDescent="0.25">
      <c r="A11" s="25" t="s">
        <v>165</v>
      </c>
      <c r="B11" s="26">
        <v>1.4674</v>
      </c>
      <c r="C11" s="27">
        <f>C5*B11</f>
        <v>223.16263222000001</v>
      </c>
      <c r="D11" s="26">
        <v>164.4</v>
      </c>
      <c r="E11" s="27">
        <f t="shared" si="0"/>
        <v>36687.936736968004</v>
      </c>
    </row>
    <row r="12" spans="1:5" x14ac:dyDescent="0.25">
      <c r="A12" s="25" t="s">
        <v>166</v>
      </c>
      <c r="B12" s="26">
        <v>1.3351</v>
      </c>
      <c r="C12" s="27">
        <f>C5*B12</f>
        <v>203.04240852999999</v>
      </c>
      <c r="D12" s="26">
        <v>164.4</v>
      </c>
      <c r="E12" s="27">
        <f t="shared" si="0"/>
        <v>33380.171962332002</v>
      </c>
    </row>
    <row r="13" spans="1:5" x14ac:dyDescent="0.25">
      <c r="A13" s="25" t="s">
        <v>167</v>
      </c>
      <c r="B13" s="26">
        <v>1.2019</v>
      </c>
      <c r="C13" s="27">
        <f>C5*B13</f>
        <v>182.78531257</v>
      </c>
      <c r="D13" s="26">
        <v>164.4</v>
      </c>
      <c r="E13" s="27">
        <f t="shared" si="0"/>
        <v>30049.905386508002</v>
      </c>
    </row>
    <row r="14" spans="1:5" x14ac:dyDescent="0.25">
      <c r="A14" s="25" t="s">
        <v>168</v>
      </c>
      <c r="B14" s="26">
        <v>1.7363</v>
      </c>
      <c r="C14" s="27">
        <f>C5*B14</f>
        <v>264.05702488999998</v>
      </c>
      <c r="D14" s="26">
        <v>164.4</v>
      </c>
      <c r="E14" s="27">
        <f t="shared" si="0"/>
        <v>43410.974891915997</v>
      </c>
    </row>
    <row r="15" spans="1:5" x14ac:dyDescent="0.25">
      <c r="A15" s="25" t="s">
        <v>169</v>
      </c>
      <c r="B15" s="32">
        <v>1.6040000000000001</v>
      </c>
      <c r="C15" s="27">
        <f>C5*B15</f>
        <v>243.93680119999999</v>
      </c>
      <c r="D15" s="26">
        <v>164.4</v>
      </c>
      <c r="E15" s="27">
        <f t="shared" si="0"/>
        <v>40103.210117280003</v>
      </c>
    </row>
    <row r="16" spans="1:5" x14ac:dyDescent="0.25">
      <c r="A16" s="25" t="s">
        <v>170</v>
      </c>
      <c r="B16" s="26">
        <v>0.96679999999999999</v>
      </c>
      <c r="C16" s="27">
        <f>C5*B16</f>
        <v>147.03123403999999</v>
      </c>
      <c r="D16" s="26">
        <v>164.4</v>
      </c>
      <c r="E16" s="27">
        <f t="shared" si="0"/>
        <v>24171.934876175997</v>
      </c>
    </row>
    <row r="17" spans="1:5" x14ac:dyDescent="0.25">
      <c r="A17" s="25" t="s">
        <v>171</v>
      </c>
      <c r="B17" s="26">
        <v>0.86809999999999998</v>
      </c>
      <c r="C17" s="27">
        <f>C5*B17</f>
        <v>132.02090842999999</v>
      </c>
      <c r="D17" s="26">
        <v>164.4</v>
      </c>
      <c r="E17" s="27">
        <f t="shared" si="0"/>
        <v>21704.237345892001</v>
      </c>
    </row>
    <row r="18" spans="1:5" x14ac:dyDescent="0.25">
      <c r="A18" s="25" t="s">
        <v>172</v>
      </c>
      <c r="B18" s="32">
        <v>0.78300000000000003</v>
      </c>
      <c r="C18" s="27">
        <f>C5*B18</f>
        <v>119.0788749</v>
      </c>
      <c r="D18" s="26">
        <v>164.4</v>
      </c>
      <c r="E18" s="27">
        <f t="shared" si="0"/>
        <v>19576.567033560001</v>
      </c>
    </row>
    <row r="20" spans="1:5" ht="27" customHeight="1" x14ac:dyDescent="0.25">
      <c r="A20" t="s">
        <v>204</v>
      </c>
      <c r="D20" s="33">
        <v>13890</v>
      </c>
    </row>
    <row r="21" spans="1:5" x14ac:dyDescent="0.25">
      <c r="A21" t="s">
        <v>205</v>
      </c>
      <c r="D21" s="34">
        <f>D20*0.3</f>
        <v>4167</v>
      </c>
    </row>
    <row r="22" spans="1:5" x14ac:dyDescent="0.25">
      <c r="A22" t="s">
        <v>206</v>
      </c>
      <c r="D22" s="34">
        <f>D20*0.5</f>
        <v>6945</v>
      </c>
    </row>
    <row r="23" spans="1:5" x14ac:dyDescent="0.25">
      <c r="A23" t="s">
        <v>207</v>
      </c>
      <c r="D23" s="34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6"/>
  <sheetViews>
    <sheetView tabSelected="1" topLeftCell="A175" zoomScaleNormal="100" workbookViewId="0">
      <selection activeCell="B192" sqref="B1:I192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1" t="s">
        <v>11</v>
      </c>
      <c r="B1" s="53" t="s">
        <v>240</v>
      </c>
      <c r="C1" s="53"/>
      <c r="D1" s="53"/>
      <c r="E1" s="53"/>
      <c r="F1" s="53"/>
      <c r="G1" s="53"/>
      <c r="H1" s="53"/>
      <c r="I1" s="53"/>
    </row>
    <row r="2" spans="1:9" ht="15" customHeight="1" x14ac:dyDescent="0.25">
      <c r="A2" s="7"/>
      <c r="B2" s="54"/>
      <c r="C2" s="54"/>
      <c r="D2" s="54"/>
      <c r="E2" s="54"/>
      <c r="F2" s="54"/>
      <c r="G2" s="54"/>
      <c r="H2" s="54"/>
      <c r="I2" s="54"/>
    </row>
    <row r="3" spans="1:9" ht="15" customHeight="1" x14ac:dyDescent="0.25">
      <c r="A3" s="7" t="s">
        <v>11</v>
      </c>
      <c r="B3" s="54" t="s">
        <v>3</v>
      </c>
      <c r="C3" s="54"/>
      <c r="D3" s="54"/>
      <c r="E3" s="54"/>
      <c r="F3" s="54"/>
      <c r="G3" s="54"/>
      <c r="H3" s="54"/>
      <c r="I3" s="54"/>
    </row>
    <row r="4" spans="1:9" ht="15" customHeight="1" x14ac:dyDescent="0.25">
      <c r="A4" s="8" t="s">
        <v>4</v>
      </c>
      <c r="B4" s="55" t="s">
        <v>241</v>
      </c>
      <c r="C4" s="55"/>
      <c r="D4" s="55"/>
      <c r="E4" s="55"/>
      <c r="F4" s="55"/>
      <c r="G4" s="55"/>
      <c r="H4" s="55"/>
      <c r="I4" s="56"/>
    </row>
    <row r="5" spans="1:9" ht="15" customHeight="1" x14ac:dyDescent="0.25">
      <c r="A5" s="8"/>
      <c r="B5" s="55" t="s">
        <v>5</v>
      </c>
      <c r="C5" s="55"/>
      <c r="D5" s="55"/>
      <c r="E5" s="55"/>
      <c r="F5" s="55"/>
      <c r="G5" s="55"/>
      <c r="H5" s="55"/>
      <c r="I5" s="57"/>
    </row>
    <row r="6" spans="1:9" ht="15" customHeight="1" x14ac:dyDescent="0.25">
      <c r="A6" s="8" t="s">
        <v>6</v>
      </c>
      <c r="B6" s="56" t="s">
        <v>242</v>
      </c>
      <c r="C6" s="56"/>
      <c r="D6" s="56"/>
      <c r="E6" s="56"/>
      <c r="F6" s="56"/>
      <c r="G6" s="56"/>
      <c r="H6" s="56"/>
      <c r="I6" s="56"/>
    </row>
    <row r="7" spans="1:9" ht="15" customHeight="1" x14ac:dyDescent="0.25">
      <c r="A7" s="8"/>
      <c r="B7" s="56" t="s">
        <v>243</v>
      </c>
      <c r="C7" s="56"/>
      <c r="D7" s="56"/>
      <c r="E7" s="56"/>
      <c r="F7" s="56"/>
      <c r="G7" s="56"/>
      <c r="H7" s="56"/>
      <c r="I7" s="56"/>
    </row>
    <row r="8" spans="1:9" ht="15" customHeight="1" x14ac:dyDescent="0.25">
      <c r="A8" s="8" t="s">
        <v>7</v>
      </c>
      <c r="B8" s="56" t="s">
        <v>8</v>
      </c>
      <c r="C8" s="56"/>
      <c r="D8" s="56"/>
      <c r="E8" s="56"/>
      <c r="F8" s="56"/>
      <c r="G8" s="56"/>
      <c r="H8" s="56"/>
      <c r="I8" s="56"/>
    </row>
    <row r="9" spans="1:9" ht="15" customHeight="1" x14ac:dyDescent="0.25">
      <c r="A9" s="8" t="s">
        <v>208</v>
      </c>
      <c r="B9" s="55" t="s">
        <v>245</v>
      </c>
      <c r="C9" s="55"/>
      <c r="D9" s="55"/>
      <c r="E9" s="55"/>
      <c r="F9" s="56"/>
      <c r="G9" s="56"/>
      <c r="H9" s="56"/>
      <c r="I9" s="56"/>
    </row>
    <row r="10" spans="1:9" x14ac:dyDescent="0.25">
      <c r="A10" s="8">
        <v>5</v>
      </c>
      <c r="B10" s="58" t="s">
        <v>0</v>
      </c>
      <c r="C10" s="56"/>
      <c r="D10" s="56"/>
      <c r="E10" s="56"/>
      <c r="F10" s="56"/>
      <c r="G10" s="56"/>
      <c r="H10" s="56"/>
      <c r="I10" s="59"/>
    </row>
    <row r="11" spans="1:9" x14ac:dyDescent="0.25">
      <c r="A11" s="8"/>
      <c r="B11" s="58"/>
      <c r="C11" s="56"/>
      <c r="D11" s="56"/>
      <c r="E11" s="56"/>
      <c r="F11" s="56"/>
      <c r="G11" s="56"/>
      <c r="H11" s="56"/>
      <c r="I11" s="59"/>
    </row>
    <row r="12" spans="1:9" ht="15" customHeight="1" x14ac:dyDescent="0.25">
      <c r="A12" s="1"/>
      <c r="B12" s="60" t="s">
        <v>175</v>
      </c>
      <c r="C12" s="60"/>
      <c r="D12" s="60"/>
      <c r="E12" s="60"/>
      <c r="F12" s="60"/>
      <c r="G12" s="60"/>
      <c r="H12" s="60"/>
      <c r="I12" s="60"/>
    </row>
    <row r="13" spans="1:9" ht="56.25" customHeight="1" x14ac:dyDescent="0.25">
      <c r="A13" s="5" t="s">
        <v>1</v>
      </c>
      <c r="B13" s="61" t="s">
        <v>13</v>
      </c>
      <c r="C13" s="61" t="s">
        <v>25</v>
      </c>
      <c r="D13" s="61" t="s">
        <v>24</v>
      </c>
      <c r="E13" s="61" t="s">
        <v>14</v>
      </c>
      <c r="F13" s="62" t="s">
        <v>51</v>
      </c>
      <c r="G13" s="62" t="s">
        <v>15</v>
      </c>
      <c r="H13" s="61" t="s">
        <v>16</v>
      </c>
      <c r="I13" s="63" t="s">
        <v>10</v>
      </c>
    </row>
    <row r="14" spans="1:9" x14ac:dyDescent="0.25">
      <c r="A14" s="3">
        <v>1</v>
      </c>
      <c r="B14" s="64">
        <v>2</v>
      </c>
      <c r="C14" s="64">
        <v>3</v>
      </c>
      <c r="D14" s="64">
        <v>4</v>
      </c>
      <c r="E14" s="64">
        <v>5</v>
      </c>
      <c r="F14" s="64">
        <v>6</v>
      </c>
      <c r="G14" s="64">
        <v>7</v>
      </c>
      <c r="H14" s="64">
        <v>8</v>
      </c>
      <c r="I14" s="64">
        <v>9</v>
      </c>
    </row>
    <row r="15" spans="1:9" ht="18" customHeight="1" x14ac:dyDescent="0.25">
      <c r="A15" s="3" t="s">
        <v>143</v>
      </c>
      <c r="B15" s="43" t="s">
        <v>182</v>
      </c>
      <c r="C15" s="44"/>
      <c r="D15" s="44"/>
      <c r="E15" s="44"/>
      <c r="F15" s="65"/>
      <c r="G15" s="65"/>
      <c r="H15" s="65"/>
      <c r="I15" s="66"/>
    </row>
    <row r="16" spans="1:9" ht="58.5" customHeight="1" x14ac:dyDescent="0.25">
      <c r="A16" s="28">
        <v>1</v>
      </c>
      <c r="B16" s="67" t="s">
        <v>215</v>
      </c>
      <c r="C16" s="68" t="s">
        <v>176</v>
      </c>
      <c r="D16" s="69">
        <v>2</v>
      </c>
      <c r="E16" s="70" t="s">
        <v>209</v>
      </c>
      <c r="F16" s="71">
        <v>2601</v>
      </c>
      <c r="G16" s="72">
        <v>0.68149999999999999</v>
      </c>
      <c r="H16" s="73">
        <f t="shared" ref="H16:H17" si="0">F16*G16</f>
        <v>1772.5815</v>
      </c>
      <c r="I16" s="74" t="s">
        <v>210</v>
      </c>
    </row>
    <row r="17" spans="1:9" ht="59.25" customHeight="1" x14ac:dyDescent="0.25">
      <c r="A17" s="28">
        <v>2</v>
      </c>
      <c r="B17" s="67" t="s">
        <v>216</v>
      </c>
      <c r="C17" s="68" t="s">
        <v>176</v>
      </c>
      <c r="D17" s="69">
        <v>2</v>
      </c>
      <c r="E17" s="70" t="s">
        <v>209</v>
      </c>
      <c r="F17" s="71">
        <v>250</v>
      </c>
      <c r="G17" s="72">
        <v>0.68149999999999999</v>
      </c>
      <c r="H17" s="73">
        <f t="shared" si="0"/>
        <v>170.375</v>
      </c>
      <c r="I17" s="74"/>
    </row>
    <row r="18" spans="1:9" s="40" customFormat="1" ht="18.75" customHeight="1" x14ac:dyDescent="0.25">
      <c r="A18" s="39"/>
      <c r="B18" s="75" t="s">
        <v>44</v>
      </c>
      <c r="C18" s="76"/>
      <c r="D18" s="77"/>
      <c r="E18" s="70"/>
      <c r="F18" s="78"/>
      <c r="G18" s="72"/>
      <c r="H18" s="79">
        <f>SUM(H16:H17)</f>
        <v>1942.9565</v>
      </c>
      <c r="I18" s="70"/>
    </row>
    <row r="19" spans="1:9" x14ac:dyDescent="0.25">
      <c r="A19" s="3"/>
      <c r="B19" s="80" t="s">
        <v>122</v>
      </c>
      <c r="C19" s="74"/>
      <c r="D19" s="74"/>
      <c r="E19" s="74"/>
      <c r="F19" s="68"/>
      <c r="G19" s="68"/>
      <c r="H19" s="73">
        <f>H18/1973</f>
        <v>0.98477268119614803</v>
      </c>
      <c r="I19" s="64"/>
    </row>
    <row r="20" spans="1:9" ht="22.5" x14ac:dyDescent="0.25">
      <c r="A20" s="3"/>
      <c r="B20" s="80" t="s">
        <v>177</v>
      </c>
      <c r="C20" s="74"/>
      <c r="D20" s="74"/>
      <c r="E20" s="74"/>
      <c r="F20" s="68"/>
      <c r="G20" s="68"/>
      <c r="H20" s="81">
        <f>H19*1.12</f>
        <v>1.1029454029396859</v>
      </c>
      <c r="I20" s="64"/>
    </row>
    <row r="21" spans="1:9" x14ac:dyDescent="0.25">
      <c r="A21" s="29"/>
      <c r="B21" s="82"/>
      <c r="C21" s="83"/>
      <c r="D21" s="83"/>
      <c r="E21" s="83"/>
      <c r="F21" s="84"/>
      <c r="G21" s="84"/>
      <c r="H21" s="85"/>
      <c r="I21" s="86"/>
    </row>
    <row r="22" spans="1:9" x14ac:dyDescent="0.25">
      <c r="A22" s="3" t="s">
        <v>144</v>
      </c>
      <c r="B22" s="43" t="s">
        <v>183</v>
      </c>
      <c r="C22" s="44"/>
      <c r="D22" s="44"/>
      <c r="E22" s="44"/>
      <c r="F22" s="87"/>
      <c r="G22" s="87"/>
      <c r="H22" s="87"/>
      <c r="I22" s="88"/>
    </row>
    <row r="23" spans="1:9" ht="15" customHeight="1" x14ac:dyDescent="0.25">
      <c r="A23" s="46" t="s">
        <v>1</v>
      </c>
      <c r="B23" s="89" t="s">
        <v>178</v>
      </c>
      <c r="C23" s="90" t="s">
        <v>180</v>
      </c>
      <c r="D23" s="91"/>
      <c r="E23" s="90" t="s">
        <v>214</v>
      </c>
      <c r="F23" s="91"/>
      <c r="G23" s="90" t="s">
        <v>181</v>
      </c>
      <c r="H23" s="92"/>
      <c r="I23" s="91"/>
    </row>
    <row r="24" spans="1:9" x14ac:dyDescent="0.25">
      <c r="A24" s="47"/>
      <c r="B24" s="93"/>
      <c r="C24" s="94"/>
      <c r="D24" s="95"/>
      <c r="E24" s="94"/>
      <c r="F24" s="95"/>
      <c r="G24" s="94"/>
      <c r="H24" s="96"/>
      <c r="I24" s="95"/>
    </row>
    <row r="25" spans="1:9" ht="23.25" x14ac:dyDescent="0.25">
      <c r="A25" s="3">
        <v>1</v>
      </c>
      <c r="B25" s="97" t="s">
        <v>179</v>
      </c>
      <c r="C25" s="98">
        <f>H20</f>
        <v>1.1029454029396859</v>
      </c>
      <c r="D25" s="99"/>
      <c r="E25" s="100">
        <v>27137.17</v>
      </c>
      <c r="F25" s="101"/>
      <c r="G25" s="49">
        <f>C25*E25*12</f>
        <v>359169.80280351301</v>
      </c>
      <c r="H25" s="50"/>
      <c r="I25" s="51"/>
    </row>
    <row r="26" spans="1:9" x14ac:dyDescent="0.25">
      <c r="A26" s="29"/>
      <c r="B26" s="102"/>
      <c r="C26" s="86"/>
      <c r="D26" s="86"/>
      <c r="E26" s="86"/>
      <c r="F26" s="86"/>
      <c r="G26" s="103"/>
      <c r="H26" s="103"/>
      <c r="I26" s="103"/>
    </row>
    <row r="27" spans="1:9" ht="15" customHeight="1" x14ac:dyDescent="0.25">
      <c r="A27" s="3" t="s">
        <v>145</v>
      </c>
      <c r="B27" s="43" t="s">
        <v>228</v>
      </c>
      <c r="C27" s="44"/>
      <c r="D27" s="44"/>
      <c r="E27" s="44"/>
      <c r="F27" s="44"/>
      <c r="G27" s="44"/>
      <c r="H27" s="44"/>
      <c r="I27" s="45"/>
    </row>
    <row r="28" spans="1:9" x14ac:dyDescent="0.25">
      <c r="A28" s="48" t="s">
        <v>1</v>
      </c>
      <c r="B28" s="104" t="s">
        <v>52</v>
      </c>
      <c r="C28" s="104" t="s">
        <v>53</v>
      </c>
      <c r="D28" s="104"/>
      <c r="E28" s="104" t="s">
        <v>55</v>
      </c>
      <c r="F28" s="104" t="s">
        <v>135</v>
      </c>
      <c r="G28" s="104"/>
      <c r="H28" s="105" t="s">
        <v>57</v>
      </c>
      <c r="I28" s="104" t="s">
        <v>58</v>
      </c>
    </row>
    <row r="29" spans="1:9" ht="27.75" customHeight="1" x14ac:dyDescent="0.25">
      <c r="A29" s="48"/>
      <c r="B29" s="104"/>
      <c r="C29" s="104"/>
      <c r="D29" s="104"/>
      <c r="E29" s="104"/>
      <c r="F29" s="68" t="s">
        <v>54</v>
      </c>
      <c r="G29" s="68" t="s">
        <v>56</v>
      </c>
      <c r="H29" s="105"/>
      <c r="I29" s="104"/>
    </row>
    <row r="30" spans="1:9" x14ac:dyDescent="0.25">
      <c r="A30" s="10">
        <v>1</v>
      </c>
      <c r="B30" s="74" t="s">
        <v>123</v>
      </c>
      <c r="C30" s="104" t="s">
        <v>30</v>
      </c>
      <c r="D30" s="104"/>
      <c r="E30" s="68">
        <v>3.4708000000000001</v>
      </c>
      <c r="F30" s="68">
        <v>0.14000000000000001</v>
      </c>
      <c r="G30" s="73">
        <f>E30*F30</f>
        <v>0.48591200000000007</v>
      </c>
      <c r="H30" s="106">
        <v>160</v>
      </c>
      <c r="I30" s="107">
        <f>G30*H30</f>
        <v>77.745920000000012</v>
      </c>
    </row>
    <row r="31" spans="1:9" x14ac:dyDescent="0.25">
      <c r="A31" s="10">
        <v>2</v>
      </c>
      <c r="B31" s="74" t="s">
        <v>129</v>
      </c>
      <c r="C31" s="104"/>
      <c r="D31" s="104"/>
      <c r="E31" s="68">
        <v>3.4708000000000001</v>
      </c>
      <c r="F31" s="68">
        <v>1.73</v>
      </c>
      <c r="G31" s="73">
        <f t="shared" ref="G31:G36" si="1">E31*F31</f>
        <v>6.0044839999999997</v>
      </c>
      <c r="H31" s="106">
        <v>220</v>
      </c>
      <c r="I31" s="107">
        <f t="shared" ref="I31:I36" si="2">G31*H31</f>
        <v>1320.98648</v>
      </c>
    </row>
    <row r="32" spans="1:9" x14ac:dyDescent="0.25">
      <c r="A32" s="10">
        <v>3</v>
      </c>
      <c r="B32" s="74" t="s">
        <v>130</v>
      </c>
      <c r="C32" s="108" t="s">
        <v>19</v>
      </c>
      <c r="D32" s="108"/>
      <c r="E32" s="68">
        <v>3.4708000000000001</v>
      </c>
      <c r="F32" s="68">
        <v>7.0000000000000007E-2</v>
      </c>
      <c r="G32" s="73">
        <f t="shared" si="1"/>
        <v>0.24295600000000003</v>
      </c>
      <c r="H32" s="106">
        <v>180</v>
      </c>
      <c r="I32" s="107">
        <f t="shared" si="2"/>
        <v>43.732080000000003</v>
      </c>
    </row>
    <row r="33" spans="1:9" x14ac:dyDescent="0.25">
      <c r="A33" s="10">
        <v>4</v>
      </c>
      <c r="B33" s="74" t="s">
        <v>131</v>
      </c>
      <c r="C33" s="108" t="s">
        <v>19</v>
      </c>
      <c r="D33" s="108"/>
      <c r="E33" s="68">
        <v>3.4708000000000001</v>
      </c>
      <c r="F33" s="68">
        <v>0.14000000000000001</v>
      </c>
      <c r="G33" s="73">
        <f t="shared" si="1"/>
        <v>0.48591200000000007</v>
      </c>
      <c r="H33" s="106">
        <v>220</v>
      </c>
      <c r="I33" s="107">
        <f t="shared" si="2"/>
        <v>106.90064000000001</v>
      </c>
    </row>
    <row r="34" spans="1:9" x14ac:dyDescent="0.25">
      <c r="A34" s="10">
        <v>5</v>
      </c>
      <c r="B34" s="74" t="s">
        <v>132</v>
      </c>
      <c r="C34" s="108" t="s">
        <v>19</v>
      </c>
      <c r="D34" s="108"/>
      <c r="E34" s="68">
        <v>3.4708000000000001</v>
      </c>
      <c r="F34" s="68">
        <v>0.14000000000000001</v>
      </c>
      <c r="G34" s="73">
        <f t="shared" si="1"/>
        <v>0.48591200000000007</v>
      </c>
      <c r="H34" s="106">
        <v>250</v>
      </c>
      <c r="I34" s="107">
        <f t="shared" si="2"/>
        <v>121.47800000000002</v>
      </c>
    </row>
    <row r="35" spans="1:9" x14ac:dyDescent="0.25">
      <c r="A35" s="10">
        <v>6</v>
      </c>
      <c r="B35" s="74" t="s">
        <v>133</v>
      </c>
      <c r="C35" s="108" t="s">
        <v>19</v>
      </c>
      <c r="D35" s="108"/>
      <c r="E35" s="68">
        <v>3.4708000000000001</v>
      </c>
      <c r="F35" s="68">
        <v>0.51</v>
      </c>
      <c r="G35" s="73">
        <f t="shared" si="1"/>
        <v>1.770108</v>
      </c>
      <c r="H35" s="106">
        <f>162.32*1.2</f>
        <v>194.78399999999999</v>
      </c>
      <c r="I35" s="107">
        <f t="shared" si="2"/>
        <v>344.78871667199996</v>
      </c>
    </row>
    <row r="36" spans="1:9" x14ac:dyDescent="0.25">
      <c r="A36" s="10">
        <v>7</v>
      </c>
      <c r="B36" s="74" t="s">
        <v>134</v>
      </c>
      <c r="C36" s="108" t="s">
        <v>19</v>
      </c>
      <c r="D36" s="108"/>
      <c r="E36" s="68">
        <v>3.4708000000000001</v>
      </c>
      <c r="F36" s="68">
        <v>0.42</v>
      </c>
      <c r="G36" s="73">
        <f t="shared" si="1"/>
        <v>1.4577359999999999</v>
      </c>
      <c r="H36" s="106">
        <f>177.01*1.2</f>
        <v>212.41199999999998</v>
      </c>
      <c r="I36" s="107">
        <f t="shared" si="2"/>
        <v>309.64061923199995</v>
      </c>
    </row>
    <row r="37" spans="1:9" x14ac:dyDescent="0.25">
      <c r="A37" s="10"/>
      <c r="B37" s="109" t="s">
        <v>44</v>
      </c>
      <c r="C37" s="110"/>
      <c r="D37" s="111"/>
      <c r="E37" s="68"/>
      <c r="F37" s="68"/>
      <c r="G37" s="68"/>
      <c r="H37" s="73"/>
      <c r="I37" s="112">
        <f>SUM(I30:I36)</f>
        <v>2325.2724559040003</v>
      </c>
    </row>
    <row r="38" spans="1:9" x14ac:dyDescent="0.25">
      <c r="A38" s="11"/>
      <c r="B38" s="113"/>
      <c r="C38" s="84"/>
      <c r="D38" s="84"/>
      <c r="E38" s="84"/>
      <c r="F38" s="84"/>
      <c r="G38" s="84"/>
      <c r="H38" s="114"/>
      <c r="I38" s="115"/>
    </row>
    <row r="39" spans="1:9" x14ac:dyDescent="0.25">
      <c r="A39" s="11"/>
      <c r="B39" s="113"/>
      <c r="C39" s="84"/>
      <c r="D39" s="84"/>
      <c r="E39" s="84"/>
      <c r="F39" s="84"/>
      <c r="G39" s="84"/>
      <c r="H39" s="114"/>
      <c r="I39" s="115"/>
    </row>
    <row r="40" spans="1:9" x14ac:dyDescent="0.25">
      <c r="A40" s="11"/>
      <c r="B40" s="113"/>
      <c r="C40" s="84"/>
      <c r="D40" s="84"/>
      <c r="E40" s="84"/>
      <c r="F40" s="84"/>
      <c r="G40" s="84"/>
      <c r="H40" s="114"/>
      <c r="I40" s="115"/>
    </row>
    <row r="41" spans="1:9" ht="18" customHeight="1" x14ac:dyDescent="0.25">
      <c r="A41" s="36"/>
      <c r="B41" s="60" t="s">
        <v>195</v>
      </c>
      <c r="C41" s="60"/>
      <c r="D41" s="60"/>
      <c r="E41" s="60"/>
      <c r="F41" s="60"/>
      <c r="G41" s="60"/>
      <c r="H41" s="60"/>
      <c r="I41" s="60"/>
    </row>
    <row r="42" spans="1:9" ht="59.25" customHeight="1" x14ac:dyDescent="0.25">
      <c r="A42" s="35" t="s">
        <v>1</v>
      </c>
      <c r="B42" s="61" t="s">
        <v>13</v>
      </c>
      <c r="C42" s="61" t="s">
        <v>25</v>
      </c>
      <c r="D42" s="61" t="s">
        <v>24</v>
      </c>
      <c r="E42" s="61" t="s">
        <v>14</v>
      </c>
      <c r="F42" s="62" t="s">
        <v>51</v>
      </c>
      <c r="G42" s="62" t="s">
        <v>15</v>
      </c>
      <c r="H42" s="61" t="s">
        <v>16</v>
      </c>
      <c r="I42" s="63" t="s">
        <v>10</v>
      </c>
    </row>
    <row r="43" spans="1:9" ht="12" customHeight="1" x14ac:dyDescent="0.25">
      <c r="A43" s="3">
        <v>1</v>
      </c>
      <c r="B43" s="64">
        <v>2</v>
      </c>
      <c r="C43" s="64">
        <v>3</v>
      </c>
      <c r="D43" s="64">
        <v>4</v>
      </c>
      <c r="E43" s="64">
        <v>5</v>
      </c>
      <c r="F43" s="64">
        <v>6</v>
      </c>
      <c r="G43" s="64">
        <v>7</v>
      </c>
      <c r="H43" s="64">
        <v>8</v>
      </c>
      <c r="I43" s="64">
        <v>9</v>
      </c>
    </row>
    <row r="44" spans="1:9" x14ac:dyDescent="0.25">
      <c r="A44" s="3" t="s">
        <v>149</v>
      </c>
      <c r="B44" s="43" t="s">
        <v>182</v>
      </c>
      <c r="C44" s="44"/>
      <c r="D44" s="44"/>
      <c r="E44" s="44"/>
      <c r="F44" s="65"/>
      <c r="G44" s="65"/>
      <c r="H44" s="65"/>
      <c r="I44" s="66"/>
    </row>
    <row r="45" spans="1:9" ht="45" x14ac:dyDescent="0.25">
      <c r="A45" s="28">
        <v>1</v>
      </c>
      <c r="B45" s="67" t="s">
        <v>185</v>
      </c>
      <c r="C45" s="68" t="s">
        <v>186</v>
      </c>
      <c r="D45" s="69">
        <v>1</v>
      </c>
      <c r="E45" s="70" t="s">
        <v>30</v>
      </c>
      <c r="F45" s="78">
        <v>114.5</v>
      </c>
      <c r="G45" s="68">
        <v>3.4708000000000001</v>
      </c>
      <c r="H45" s="79">
        <f t="shared" ref="H45" si="3">F45*G45</f>
        <v>397.40660000000003</v>
      </c>
      <c r="I45" s="70" t="s">
        <v>187</v>
      </c>
    </row>
    <row r="46" spans="1:9" x14ac:dyDescent="0.25">
      <c r="A46" s="30">
        <v>2</v>
      </c>
      <c r="B46" s="116" t="s">
        <v>188</v>
      </c>
      <c r="C46" s="68" t="s">
        <v>186</v>
      </c>
      <c r="D46" s="69">
        <v>1</v>
      </c>
      <c r="E46" s="117" t="s">
        <v>19</v>
      </c>
      <c r="F46" s="118">
        <v>133.4</v>
      </c>
      <c r="G46" s="68">
        <v>3.4708000000000001</v>
      </c>
      <c r="H46" s="79">
        <f t="shared" ref="H46" si="4">F46*G46</f>
        <v>463.00472000000002</v>
      </c>
      <c r="I46" s="70" t="s">
        <v>189</v>
      </c>
    </row>
    <row r="47" spans="1:9" x14ac:dyDescent="0.25">
      <c r="A47" s="30">
        <v>3</v>
      </c>
      <c r="B47" s="116" t="s">
        <v>190</v>
      </c>
      <c r="C47" s="68" t="s">
        <v>186</v>
      </c>
      <c r="D47" s="69">
        <v>1</v>
      </c>
      <c r="E47" s="117" t="s">
        <v>19</v>
      </c>
      <c r="F47" s="72">
        <v>17.32</v>
      </c>
      <c r="G47" s="68">
        <v>3.4708000000000001</v>
      </c>
      <c r="H47" s="79">
        <f t="shared" ref="H47" si="5">F47*G47</f>
        <v>60.114256000000005</v>
      </c>
      <c r="I47" s="70" t="s">
        <v>191</v>
      </c>
    </row>
    <row r="48" spans="1:9" ht="33.75" customHeight="1" x14ac:dyDescent="0.25">
      <c r="A48" s="10">
        <v>4</v>
      </c>
      <c r="B48" s="67" t="s">
        <v>192</v>
      </c>
      <c r="C48" s="68" t="s">
        <v>186</v>
      </c>
      <c r="D48" s="69">
        <v>1</v>
      </c>
      <c r="E48" s="117" t="s">
        <v>19</v>
      </c>
      <c r="F48" s="118">
        <f>4.98*1.78</f>
        <v>8.8644000000000016</v>
      </c>
      <c r="G48" s="68">
        <v>3.4708000000000001</v>
      </c>
      <c r="H48" s="79">
        <f t="shared" ref="H48" si="6">F48*G48</f>
        <v>30.766559520000005</v>
      </c>
      <c r="I48" s="70" t="s">
        <v>217</v>
      </c>
    </row>
    <row r="49" spans="1:9" ht="33.75" x14ac:dyDescent="0.25">
      <c r="A49" s="38">
        <v>5</v>
      </c>
      <c r="B49" s="67" t="s">
        <v>193</v>
      </c>
      <c r="C49" s="68" t="s">
        <v>186</v>
      </c>
      <c r="D49" s="69">
        <v>1</v>
      </c>
      <c r="E49" s="117" t="s">
        <v>19</v>
      </c>
      <c r="F49" s="118">
        <f>326*0.69</f>
        <v>224.93999999999997</v>
      </c>
      <c r="G49" s="68">
        <v>3.4708000000000001</v>
      </c>
      <c r="H49" s="79">
        <f t="shared" ref="H49" si="7">F49*G49</f>
        <v>780.72175199999992</v>
      </c>
      <c r="I49" s="70" t="s">
        <v>218</v>
      </c>
    </row>
    <row r="50" spans="1:9" x14ac:dyDescent="0.25">
      <c r="A50" s="10"/>
      <c r="B50" s="67" t="s">
        <v>44</v>
      </c>
      <c r="C50" s="68"/>
      <c r="D50" s="68"/>
      <c r="E50" s="68"/>
      <c r="F50" s="68"/>
      <c r="G50" s="68"/>
      <c r="H50" s="73">
        <f>SUM(H45:H49)</f>
        <v>1732.01388752</v>
      </c>
      <c r="I50" s="112"/>
    </row>
    <row r="51" spans="1:9" x14ac:dyDescent="0.25">
      <c r="A51" s="10"/>
      <c r="B51" s="80" t="s">
        <v>122</v>
      </c>
      <c r="C51" s="74"/>
      <c r="D51" s="74"/>
      <c r="E51" s="74"/>
      <c r="F51" s="68"/>
      <c r="G51" s="68"/>
      <c r="H51" s="73">
        <f>H50/1973</f>
        <v>0.87785802712620375</v>
      </c>
      <c r="I51" s="112"/>
    </row>
    <row r="52" spans="1:9" ht="22.5" x14ac:dyDescent="0.25">
      <c r="A52" s="10"/>
      <c r="B52" s="80" t="s">
        <v>177</v>
      </c>
      <c r="C52" s="74"/>
      <c r="D52" s="74"/>
      <c r="E52" s="74"/>
      <c r="F52" s="68"/>
      <c r="G52" s="68"/>
      <c r="H52" s="81">
        <f>H51*1.12</f>
        <v>0.98320099038134834</v>
      </c>
      <c r="I52" s="119"/>
    </row>
    <row r="53" spans="1:9" x14ac:dyDescent="0.25">
      <c r="A53" s="29"/>
      <c r="B53" s="82"/>
      <c r="C53" s="83"/>
      <c r="D53" s="83"/>
      <c r="E53" s="83"/>
      <c r="F53" s="84"/>
      <c r="G53" s="84"/>
      <c r="H53" s="85"/>
      <c r="I53" s="86"/>
    </row>
    <row r="54" spans="1:9" x14ac:dyDescent="0.25">
      <c r="A54" s="3" t="s">
        <v>150</v>
      </c>
      <c r="B54" s="43" t="s">
        <v>183</v>
      </c>
      <c r="C54" s="44"/>
      <c r="D54" s="44"/>
      <c r="E54" s="44"/>
      <c r="F54" s="87"/>
      <c r="G54" s="87"/>
      <c r="H54" s="87"/>
      <c r="I54" s="88"/>
    </row>
    <row r="55" spans="1:9" ht="15" customHeight="1" x14ac:dyDescent="0.25">
      <c r="A55" s="46" t="s">
        <v>1</v>
      </c>
      <c r="B55" s="89" t="s">
        <v>178</v>
      </c>
      <c r="C55" s="90" t="s">
        <v>180</v>
      </c>
      <c r="D55" s="91"/>
      <c r="E55" s="90" t="s">
        <v>214</v>
      </c>
      <c r="F55" s="91"/>
      <c r="G55" s="90" t="s">
        <v>181</v>
      </c>
      <c r="H55" s="92"/>
      <c r="I55" s="91"/>
    </row>
    <row r="56" spans="1:9" x14ac:dyDescent="0.25">
      <c r="A56" s="47"/>
      <c r="B56" s="93"/>
      <c r="C56" s="94"/>
      <c r="D56" s="95"/>
      <c r="E56" s="94"/>
      <c r="F56" s="95"/>
      <c r="G56" s="94"/>
      <c r="H56" s="96"/>
      <c r="I56" s="95"/>
    </row>
    <row r="57" spans="1:9" x14ac:dyDescent="0.25">
      <c r="A57" s="3">
        <v>1</v>
      </c>
      <c r="B57" s="97" t="s">
        <v>194</v>
      </c>
      <c r="C57" s="98">
        <f>H52</f>
        <v>0.98320099038134834</v>
      </c>
      <c r="D57" s="99"/>
      <c r="E57" s="100">
        <v>25002</v>
      </c>
      <c r="F57" s="101"/>
      <c r="G57" s="49">
        <f>C57*E57*12</f>
        <v>294983.89393817366</v>
      </c>
      <c r="H57" s="50"/>
      <c r="I57" s="51"/>
    </row>
    <row r="58" spans="1:9" x14ac:dyDescent="0.25">
      <c r="A58" s="29"/>
      <c r="B58" s="102"/>
      <c r="C58" s="86"/>
      <c r="D58" s="86"/>
      <c r="E58" s="86"/>
      <c r="F58" s="86"/>
      <c r="G58" s="103"/>
      <c r="H58" s="103"/>
      <c r="I58" s="103"/>
    </row>
    <row r="59" spans="1:9" ht="15" customHeight="1" x14ac:dyDescent="0.25">
      <c r="A59" s="3" t="s">
        <v>151</v>
      </c>
      <c r="B59" s="43" t="s">
        <v>229</v>
      </c>
      <c r="C59" s="44"/>
      <c r="D59" s="44"/>
      <c r="E59" s="44"/>
      <c r="F59" s="44"/>
      <c r="G59" s="44"/>
      <c r="H59" s="44"/>
      <c r="I59" s="45"/>
    </row>
    <row r="60" spans="1:9" x14ac:dyDescent="0.25">
      <c r="A60" s="48" t="s">
        <v>1</v>
      </c>
      <c r="B60" s="104" t="s">
        <v>52</v>
      </c>
      <c r="C60" s="104" t="s">
        <v>53</v>
      </c>
      <c r="D60" s="104"/>
      <c r="E60" s="104" t="s">
        <v>55</v>
      </c>
      <c r="F60" s="104" t="s">
        <v>135</v>
      </c>
      <c r="G60" s="104"/>
      <c r="H60" s="105" t="s">
        <v>57</v>
      </c>
      <c r="I60" s="104" t="s">
        <v>58</v>
      </c>
    </row>
    <row r="61" spans="1:9" ht="27.75" customHeight="1" x14ac:dyDescent="0.25">
      <c r="A61" s="48"/>
      <c r="B61" s="104"/>
      <c r="C61" s="104"/>
      <c r="D61" s="104"/>
      <c r="E61" s="104"/>
      <c r="F61" s="68" t="s">
        <v>54</v>
      </c>
      <c r="G61" s="68" t="s">
        <v>56</v>
      </c>
      <c r="H61" s="105"/>
      <c r="I61" s="104"/>
    </row>
    <row r="62" spans="1:9" x14ac:dyDescent="0.25">
      <c r="A62" s="10">
        <v>1</v>
      </c>
      <c r="B62" s="74" t="s">
        <v>123</v>
      </c>
      <c r="C62" s="90" t="s">
        <v>30</v>
      </c>
      <c r="D62" s="91"/>
      <c r="E62" s="68">
        <v>3.4708000000000001</v>
      </c>
      <c r="F62" s="68">
        <v>0.04</v>
      </c>
      <c r="G62" s="73">
        <f>E62*F62</f>
        <v>0.13883200000000001</v>
      </c>
      <c r="H62" s="106">
        <v>160</v>
      </c>
      <c r="I62" s="107">
        <f>G62*H62</f>
        <v>22.213120000000004</v>
      </c>
    </row>
    <row r="63" spans="1:9" x14ac:dyDescent="0.25">
      <c r="A63" s="10">
        <v>2</v>
      </c>
      <c r="B63" s="74" t="s">
        <v>124</v>
      </c>
      <c r="C63" s="120"/>
      <c r="D63" s="121"/>
      <c r="E63" s="68">
        <v>3.4708000000000001</v>
      </c>
      <c r="F63" s="68">
        <v>0.04</v>
      </c>
      <c r="G63" s="73">
        <f>E63*F63</f>
        <v>0.13883200000000001</v>
      </c>
      <c r="H63" s="106">
        <v>350</v>
      </c>
      <c r="I63" s="107">
        <f t="shared" ref="I63:I71" si="8">G63*H63</f>
        <v>48.591200000000001</v>
      </c>
    </row>
    <row r="64" spans="1:9" x14ac:dyDescent="0.25">
      <c r="A64" s="10">
        <v>3</v>
      </c>
      <c r="B64" s="74" t="s">
        <v>125</v>
      </c>
      <c r="C64" s="94"/>
      <c r="D64" s="95"/>
      <c r="E64" s="68">
        <v>3.4708000000000001</v>
      </c>
      <c r="F64" s="68">
        <v>0.1341</v>
      </c>
      <c r="G64" s="73">
        <f t="shared" ref="G64:G71" si="9">E64*F64</f>
        <v>0.46543427999999998</v>
      </c>
      <c r="H64" s="106">
        <v>820</v>
      </c>
      <c r="I64" s="107">
        <f t="shared" si="8"/>
        <v>381.65610959999998</v>
      </c>
    </row>
    <row r="65" spans="1:9" x14ac:dyDescent="0.25">
      <c r="A65" s="10">
        <v>4</v>
      </c>
      <c r="B65" s="74" t="s">
        <v>126</v>
      </c>
      <c r="C65" s="122" t="s">
        <v>19</v>
      </c>
      <c r="D65" s="123"/>
      <c r="E65" s="68">
        <v>3.4708000000000001</v>
      </c>
      <c r="F65" s="68">
        <v>6.9912999999999998</v>
      </c>
      <c r="G65" s="73">
        <f t="shared" si="9"/>
        <v>24.26540404</v>
      </c>
      <c r="H65" s="106">
        <v>430</v>
      </c>
      <c r="I65" s="107">
        <f t="shared" si="8"/>
        <v>10434.1237372</v>
      </c>
    </row>
    <row r="66" spans="1:9" x14ac:dyDescent="0.25">
      <c r="A66" s="10">
        <v>5</v>
      </c>
      <c r="B66" s="74" t="s">
        <v>127</v>
      </c>
      <c r="C66" s="122" t="s">
        <v>19</v>
      </c>
      <c r="D66" s="123"/>
      <c r="E66" s="68">
        <v>3.4708000000000001</v>
      </c>
      <c r="F66" s="68">
        <v>48.9</v>
      </c>
      <c r="G66" s="73">
        <f t="shared" si="9"/>
        <v>169.72211999999999</v>
      </c>
      <c r="H66" s="106">
        <v>9</v>
      </c>
      <c r="I66" s="107">
        <f t="shared" si="8"/>
        <v>1527.4990799999998</v>
      </c>
    </row>
    <row r="67" spans="1:9" x14ac:dyDescent="0.25">
      <c r="A67" s="10">
        <v>6</v>
      </c>
      <c r="B67" s="70" t="s">
        <v>220</v>
      </c>
      <c r="C67" s="122" t="s">
        <v>19</v>
      </c>
      <c r="D67" s="123"/>
      <c r="E67" s="68">
        <v>3.4708000000000001</v>
      </c>
      <c r="F67" s="72">
        <f>0.0621*0.69</f>
        <v>4.2848999999999998E-2</v>
      </c>
      <c r="G67" s="73">
        <f t="shared" si="9"/>
        <v>0.14872030920000001</v>
      </c>
      <c r="H67" s="106">
        <v>12000</v>
      </c>
      <c r="I67" s="107">
        <f t="shared" si="8"/>
        <v>1784.6437104000001</v>
      </c>
    </row>
    <row r="68" spans="1:9" x14ac:dyDescent="0.25">
      <c r="A68" s="10">
        <v>7</v>
      </c>
      <c r="B68" s="70" t="s">
        <v>221</v>
      </c>
      <c r="C68" s="122" t="s">
        <v>19</v>
      </c>
      <c r="D68" s="123"/>
      <c r="E68" s="68">
        <v>3.4708000000000001</v>
      </c>
      <c r="F68" s="72">
        <f>0.0041*0.69</f>
        <v>2.8289999999999999E-3</v>
      </c>
      <c r="G68" s="73">
        <f t="shared" si="9"/>
        <v>9.8188931999999996E-3</v>
      </c>
      <c r="H68" s="106">
        <v>1600</v>
      </c>
      <c r="I68" s="107">
        <f t="shared" si="8"/>
        <v>15.710229119999999</v>
      </c>
    </row>
    <row r="69" spans="1:9" x14ac:dyDescent="0.25">
      <c r="A69" s="10">
        <v>8</v>
      </c>
      <c r="B69" s="70" t="s">
        <v>222</v>
      </c>
      <c r="C69" s="122" t="s">
        <v>19</v>
      </c>
      <c r="D69" s="123"/>
      <c r="E69" s="68">
        <v>3.4708000000000001</v>
      </c>
      <c r="F69" s="72">
        <f>0.0021*0.69</f>
        <v>1.4489999999999998E-3</v>
      </c>
      <c r="G69" s="73">
        <f t="shared" si="9"/>
        <v>5.0291891999999991E-3</v>
      </c>
      <c r="H69" s="106">
        <v>650</v>
      </c>
      <c r="I69" s="107">
        <f t="shared" si="8"/>
        <v>3.2689729799999996</v>
      </c>
    </row>
    <row r="70" spans="1:9" x14ac:dyDescent="0.25">
      <c r="A70" s="10">
        <v>9</v>
      </c>
      <c r="B70" s="70" t="s">
        <v>223</v>
      </c>
      <c r="C70" s="122" t="s">
        <v>19</v>
      </c>
      <c r="D70" s="123"/>
      <c r="E70" s="68">
        <v>3.4708000000000001</v>
      </c>
      <c r="F70" s="72">
        <f>0.0041*0.69</f>
        <v>2.8289999999999999E-3</v>
      </c>
      <c r="G70" s="73">
        <f t="shared" si="9"/>
        <v>9.8188931999999996E-3</v>
      </c>
      <c r="H70" s="106">
        <v>800</v>
      </c>
      <c r="I70" s="107">
        <f t="shared" si="8"/>
        <v>7.8551145599999996</v>
      </c>
    </row>
    <row r="71" spans="1:9" x14ac:dyDescent="0.25">
      <c r="A71" s="10">
        <v>10</v>
      </c>
      <c r="B71" s="70" t="s">
        <v>128</v>
      </c>
      <c r="C71" s="122" t="s">
        <v>19</v>
      </c>
      <c r="D71" s="123"/>
      <c r="E71" s="68">
        <v>3.4708000000000001</v>
      </c>
      <c r="F71" s="72">
        <v>0.25259999999999999</v>
      </c>
      <c r="G71" s="73">
        <f t="shared" si="9"/>
        <v>0.87672408000000002</v>
      </c>
      <c r="H71" s="106">
        <v>1200</v>
      </c>
      <c r="I71" s="107">
        <f t="shared" si="8"/>
        <v>1052.068896</v>
      </c>
    </row>
    <row r="72" spans="1:9" x14ac:dyDescent="0.25">
      <c r="A72" s="10"/>
      <c r="B72" s="109" t="s">
        <v>44</v>
      </c>
      <c r="C72" s="110"/>
      <c r="D72" s="111"/>
      <c r="E72" s="68"/>
      <c r="F72" s="68"/>
      <c r="G72" s="68"/>
      <c r="H72" s="73"/>
      <c r="I72" s="112">
        <f>SUM(I62:I71)</f>
        <v>15277.63016986</v>
      </c>
    </row>
    <row r="73" spans="1:9" x14ac:dyDescent="0.25">
      <c r="A73" s="11"/>
      <c r="B73" s="113"/>
      <c r="C73" s="84"/>
      <c r="D73" s="84"/>
      <c r="E73" s="84"/>
      <c r="F73" s="84"/>
      <c r="G73" s="84"/>
      <c r="H73" s="114"/>
      <c r="I73" s="115"/>
    </row>
    <row r="74" spans="1:9" x14ac:dyDescent="0.25">
      <c r="A74" s="11"/>
      <c r="B74" s="113"/>
      <c r="C74" s="84"/>
      <c r="D74" s="84"/>
      <c r="E74" s="84"/>
      <c r="F74" s="84"/>
      <c r="G74" s="84"/>
      <c r="H74" s="114"/>
      <c r="I74" s="115"/>
    </row>
    <row r="75" spans="1:9" x14ac:dyDescent="0.25">
      <c r="A75" s="11"/>
      <c r="B75" s="113"/>
      <c r="C75" s="84"/>
      <c r="D75" s="84"/>
      <c r="E75" s="84"/>
      <c r="F75" s="84"/>
      <c r="G75" s="84"/>
      <c r="H75" s="114"/>
      <c r="I75" s="115"/>
    </row>
    <row r="76" spans="1:9" x14ac:dyDescent="0.25">
      <c r="A76" s="11"/>
      <c r="B76" s="113"/>
      <c r="C76" s="84"/>
      <c r="D76" s="84"/>
      <c r="E76" s="84"/>
      <c r="F76" s="84"/>
      <c r="G76" s="84"/>
      <c r="H76" s="114"/>
      <c r="I76" s="115"/>
    </row>
    <row r="77" spans="1:9" x14ac:dyDescent="0.25">
      <c r="A77" s="11"/>
      <c r="B77" s="113"/>
      <c r="C77" s="84"/>
      <c r="D77" s="84"/>
      <c r="E77" s="84"/>
      <c r="F77" s="84"/>
      <c r="G77" s="84"/>
      <c r="H77" s="114"/>
      <c r="I77" s="115"/>
    </row>
    <row r="78" spans="1:9" x14ac:dyDescent="0.25">
      <c r="A78" s="11"/>
      <c r="B78" s="113"/>
      <c r="C78" s="84"/>
      <c r="D78" s="84"/>
      <c r="E78" s="84"/>
      <c r="F78" s="84"/>
      <c r="G78" s="84"/>
      <c r="H78" s="114"/>
      <c r="I78" s="115"/>
    </row>
    <row r="79" spans="1:9" x14ac:dyDescent="0.25">
      <c r="A79" s="11"/>
      <c r="B79" s="113"/>
      <c r="C79" s="84"/>
      <c r="D79" s="84"/>
      <c r="E79" s="84"/>
      <c r="F79" s="84"/>
      <c r="G79" s="84"/>
      <c r="H79" s="114"/>
      <c r="I79" s="115"/>
    </row>
    <row r="80" spans="1:9" x14ac:dyDescent="0.25">
      <c r="A80" s="11"/>
      <c r="B80" s="113"/>
      <c r="C80" s="84"/>
      <c r="D80" s="84"/>
      <c r="E80" s="84"/>
      <c r="F80" s="84"/>
      <c r="G80" s="84"/>
      <c r="H80" s="114"/>
      <c r="I80" s="115"/>
    </row>
    <row r="81" spans="1:9" x14ac:dyDescent="0.25">
      <c r="A81" s="11"/>
      <c r="B81" s="113"/>
      <c r="C81" s="84"/>
      <c r="D81" s="84"/>
      <c r="E81" s="84"/>
      <c r="F81" s="84"/>
      <c r="G81" s="84"/>
      <c r="H81" s="114"/>
      <c r="I81" s="115"/>
    </row>
    <row r="82" spans="1:9" x14ac:dyDescent="0.25">
      <c r="A82" s="11"/>
      <c r="B82" s="113"/>
      <c r="C82" s="84"/>
      <c r="D82" s="84"/>
      <c r="E82" s="84"/>
      <c r="F82" s="84"/>
      <c r="G82" s="84"/>
      <c r="H82" s="114"/>
      <c r="I82" s="115"/>
    </row>
    <row r="83" spans="1:9" x14ac:dyDescent="0.25">
      <c r="A83" s="11"/>
      <c r="B83" s="113"/>
      <c r="C83" s="84"/>
      <c r="D83" s="84"/>
      <c r="E83" s="84"/>
      <c r="F83" s="84"/>
      <c r="G83" s="84"/>
      <c r="H83" s="114"/>
      <c r="I83" s="115"/>
    </row>
    <row r="84" spans="1:9" x14ac:dyDescent="0.25">
      <c r="A84" s="11"/>
      <c r="B84" s="113"/>
      <c r="C84" s="84"/>
      <c r="D84" s="84"/>
      <c r="E84" s="84"/>
      <c r="F84" s="84"/>
      <c r="G84" s="84"/>
      <c r="H84" s="114"/>
      <c r="I84" s="115"/>
    </row>
    <row r="85" spans="1:9" x14ac:dyDescent="0.25">
      <c r="A85" s="29"/>
      <c r="B85" s="86"/>
      <c r="C85" s="86"/>
      <c r="D85" s="86"/>
      <c r="E85" s="86"/>
      <c r="F85" s="86"/>
      <c r="G85" s="86"/>
      <c r="H85" s="86"/>
      <c r="I85" s="86"/>
    </row>
    <row r="86" spans="1:9" x14ac:dyDescent="0.25">
      <c r="A86" s="37"/>
      <c r="B86" s="124" t="s">
        <v>50</v>
      </c>
      <c r="C86" s="124"/>
      <c r="D86" s="124"/>
      <c r="E86" s="124"/>
      <c r="F86" s="124"/>
      <c r="G86" s="124"/>
      <c r="H86" s="124"/>
      <c r="I86" s="124"/>
    </row>
    <row r="87" spans="1:9" ht="61.5" customHeight="1" x14ac:dyDescent="0.25">
      <c r="A87" s="35" t="s">
        <v>1</v>
      </c>
      <c r="B87" s="61" t="s">
        <v>13</v>
      </c>
      <c r="C87" s="61" t="s">
        <v>25</v>
      </c>
      <c r="D87" s="61" t="s">
        <v>24</v>
      </c>
      <c r="E87" s="61" t="s">
        <v>14</v>
      </c>
      <c r="F87" s="62" t="s">
        <v>51</v>
      </c>
      <c r="G87" s="62" t="s">
        <v>15</v>
      </c>
      <c r="H87" s="61" t="s">
        <v>16</v>
      </c>
      <c r="I87" s="63" t="s">
        <v>10</v>
      </c>
    </row>
    <row r="88" spans="1:9" x14ac:dyDescent="0.25">
      <c r="A88" s="3">
        <v>1</v>
      </c>
      <c r="B88" s="64">
        <v>2</v>
      </c>
      <c r="C88" s="64">
        <v>3</v>
      </c>
      <c r="D88" s="64">
        <v>4</v>
      </c>
      <c r="E88" s="64">
        <v>5</v>
      </c>
      <c r="F88" s="64">
        <v>6</v>
      </c>
      <c r="G88" s="64">
        <v>7</v>
      </c>
      <c r="H88" s="64">
        <v>8</v>
      </c>
      <c r="I88" s="64">
        <v>9</v>
      </c>
    </row>
    <row r="89" spans="1:9" x14ac:dyDescent="0.25">
      <c r="A89" s="3" t="s">
        <v>196</v>
      </c>
      <c r="B89" s="43" t="s">
        <v>182</v>
      </c>
      <c r="C89" s="44"/>
      <c r="D89" s="44"/>
      <c r="E89" s="44"/>
      <c r="F89" s="65"/>
      <c r="G89" s="65"/>
      <c r="H89" s="65"/>
      <c r="I89" s="66"/>
    </row>
    <row r="90" spans="1:9" ht="45" x14ac:dyDescent="0.25">
      <c r="A90" s="4">
        <v>1</v>
      </c>
      <c r="B90" s="70" t="s">
        <v>12</v>
      </c>
      <c r="C90" s="70" t="s">
        <v>26</v>
      </c>
      <c r="D90" s="70">
        <v>2.5</v>
      </c>
      <c r="E90" s="70" t="s">
        <v>30</v>
      </c>
      <c r="F90" s="72">
        <v>4.1399999999999997</v>
      </c>
      <c r="G90" s="68">
        <v>3.4708000000000001</v>
      </c>
      <c r="H90" s="73">
        <f t="shared" ref="H90:H96" si="10">F90*G90</f>
        <v>14.369111999999999</v>
      </c>
      <c r="I90" s="74" t="s">
        <v>17</v>
      </c>
    </row>
    <row r="91" spans="1:9" ht="22.5" x14ac:dyDescent="0.25">
      <c r="A91" s="4">
        <v>2</v>
      </c>
      <c r="B91" s="70" t="s">
        <v>18</v>
      </c>
      <c r="C91" s="70" t="s">
        <v>27</v>
      </c>
      <c r="D91" s="70">
        <v>2.2999999999999998</v>
      </c>
      <c r="E91" s="72" t="s">
        <v>19</v>
      </c>
      <c r="F91" s="72">
        <v>0.25</v>
      </c>
      <c r="G91" s="68">
        <v>3.4708000000000001</v>
      </c>
      <c r="H91" s="73">
        <f t="shared" si="10"/>
        <v>0.86770000000000003</v>
      </c>
      <c r="I91" s="74" t="s">
        <v>20</v>
      </c>
    </row>
    <row r="92" spans="1:9" ht="33.75" x14ac:dyDescent="0.25">
      <c r="A92" s="4">
        <v>3</v>
      </c>
      <c r="B92" s="70" t="s">
        <v>224</v>
      </c>
      <c r="C92" s="70" t="s">
        <v>28</v>
      </c>
      <c r="D92" s="125">
        <v>4</v>
      </c>
      <c r="E92" s="72" t="s">
        <v>19</v>
      </c>
      <c r="F92" s="72">
        <v>2.52</v>
      </c>
      <c r="G92" s="68">
        <v>3.4708000000000001</v>
      </c>
      <c r="H92" s="73">
        <f t="shared" si="10"/>
        <v>8.746416</v>
      </c>
      <c r="I92" s="74" t="s">
        <v>21</v>
      </c>
    </row>
    <row r="93" spans="1:9" ht="22.5" x14ac:dyDescent="0.25">
      <c r="A93" s="4">
        <v>4</v>
      </c>
      <c r="B93" s="70" t="s">
        <v>22</v>
      </c>
      <c r="C93" s="70" t="s">
        <v>29</v>
      </c>
      <c r="D93" s="70">
        <v>3.3</v>
      </c>
      <c r="E93" s="72" t="s">
        <v>19</v>
      </c>
      <c r="F93" s="72">
        <v>3.85</v>
      </c>
      <c r="G93" s="68">
        <v>3.4708000000000001</v>
      </c>
      <c r="H93" s="73">
        <f t="shared" si="10"/>
        <v>13.362580000000001</v>
      </c>
      <c r="I93" s="74" t="s">
        <v>23</v>
      </c>
    </row>
    <row r="94" spans="1:9" ht="33.75" x14ac:dyDescent="0.25">
      <c r="A94" s="4">
        <v>5</v>
      </c>
      <c r="B94" s="70" t="s">
        <v>32</v>
      </c>
      <c r="C94" s="70" t="s">
        <v>33</v>
      </c>
      <c r="D94" s="70">
        <v>3.75</v>
      </c>
      <c r="E94" s="72" t="s">
        <v>19</v>
      </c>
      <c r="F94" s="72">
        <v>64.7</v>
      </c>
      <c r="G94" s="68">
        <v>3.4708000000000001</v>
      </c>
      <c r="H94" s="73">
        <f t="shared" si="10"/>
        <v>224.56076000000002</v>
      </c>
      <c r="I94" s="74" t="s">
        <v>34</v>
      </c>
    </row>
    <row r="95" spans="1:9" ht="22.5" x14ac:dyDescent="0.25">
      <c r="A95" s="4">
        <v>6</v>
      </c>
      <c r="B95" s="70" t="s">
        <v>35</v>
      </c>
      <c r="C95" s="70" t="s">
        <v>39</v>
      </c>
      <c r="D95" s="70">
        <v>3</v>
      </c>
      <c r="E95" s="72" t="s">
        <v>11</v>
      </c>
      <c r="F95" s="72">
        <v>0.37</v>
      </c>
      <c r="G95" s="68">
        <v>3.4708000000000001</v>
      </c>
      <c r="H95" s="73">
        <f t="shared" si="10"/>
        <v>1.2841960000000001</v>
      </c>
      <c r="I95" s="74" t="s">
        <v>36</v>
      </c>
    </row>
    <row r="96" spans="1:9" ht="37.5" customHeight="1" x14ac:dyDescent="0.25">
      <c r="A96" s="4">
        <v>7</v>
      </c>
      <c r="B96" s="70" t="s">
        <v>37</v>
      </c>
      <c r="C96" s="70" t="s">
        <v>38</v>
      </c>
      <c r="D96" s="70">
        <v>3</v>
      </c>
      <c r="E96" s="72" t="s">
        <v>19</v>
      </c>
      <c r="F96" s="72">
        <v>4.2</v>
      </c>
      <c r="G96" s="68">
        <v>3.4708000000000001</v>
      </c>
      <c r="H96" s="73">
        <f t="shared" si="10"/>
        <v>14.577360000000001</v>
      </c>
      <c r="I96" s="74" t="s">
        <v>40</v>
      </c>
    </row>
    <row r="97" spans="1:9" ht="45" customHeight="1" x14ac:dyDescent="0.25">
      <c r="A97" s="4">
        <v>8</v>
      </c>
      <c r="B97" s="70" t="s">
        <v>225</v>
      </c>
      <c r="C97" s="70" t="s">
        <v>41</v>
      </c>
      <c r="D97" s="70">
        <v>4</v>
      </c>
      <c r="E97" s="72" t="s">
        <v>19</v>
      </c>
      <c r="F97" s="79">
        <f>0.001*1973*3*1.08*1.2</f>
        <v>7.671024000000001</v>
      </c>
      <c r="G97" s="68">
        <v>3.4708000000000001</v>
      </c>
      <c r="H97" s="79">
        <f t="shared" ref="H97:H102" si="11">F97*G97</f>
        <v>26.624590099200002</v>
      </c>
      <c r="I97" s="70" t="s">
        <v>219</v>
      </c>
    </row>
    <row r="98" spans="1:9" ht="22.5" x14ac:dyDescent="0.25">
      <c r="A98" s="4"/>
      <c r="B98" s="126" t="s">
        <v>226</v>
      </c>
      <c r="C98" s="70" t="s">
        <v>33</v>
      </c>
      <c r="D98" s="70">
        <v>4</v>
      </c>
      <c r="E98" s="72" t="s">
        <v>19</v>
      </c>
      <c r="F98" s="79">
        <f>0.002*1973*3*1.08*1.2</f>
        <v>15.342048000000002</v>
      </c>
      <c r="G98" s="68">
        <v>3.4708000000000001</v>
      </c>
      <c r="H98" s="79">
        <f t="shared" si="11"/>
        <v>53.249180198400005</v>
      </c>
      <c r="I98" s="70" t="s">
        <v>19</v>
      </c>
    </row>
    <row r="99" spans="1:9" ht="22.5" x14ac:dyDescent="0.25">
      <c r="A99" s="4"/>
      <c r="B99" s="126" t="s">
        <v>227</v>
      </c>
      <c r="C99" s="70" t="s">
        <v>42</v>
      </c>
      <c r="D99" s="70">
        <v>5</v>
      </c>
      <c r="E99" s="72" t="s">
        <v>19</v>
      </c>
      <c r="F99" s="79">
        <f t="shared" ref="F99:F100" si="12">0.001*1973*3*1.08*1.2</f>
        <v>7.671024000000001</v>
      </c>
      <c r="G99" s="68">
        <v>3.4708000000000001</v>
      </c>
      <c r="H99" s="79">
        <f t="shared" si="11"/>
        <v>26.624590099200002</v>
      </c>
      <c r="I99" s="70" t="s">
        <v>19</v>
      </c>
    </row>
    <row r="100" spans="1:9" x14ac:dyDescent="0.25">
      <c r="A100" s="4"/>
      <c r="B100" s="126" t="s">
        <v>227</v>
      </c>
      <c r="C100" s="70" t="s">
        <v>43</v>
      </c>
      <c r="D100" s="70">
        <v>4</v>
      </c>
      <c r="E100" s="72" t="s">
        <v>19</v>
      </c>
      <c r="F100" s="79">
        <f t="shared" si="12"/>
        <v>7.671024000000001</v>
      </c>
      <c r="G100" s="68">
        <v>3.4708000000000001</v>
      </c>
      <c r="H100" s="79">
        <f t="shared" si="11"/>
        <v>26.624590099200002</v>
      </c>
      <c r="I100" s="70" t="s">
        <v>19</v>
      </c>
    </row>
    <row r="101" spans="1:9" ht="22.5" x14ac:dyDescent="0.25">
      <c r="A101" s="4">
        <v>9</v>
      </c>
      <c r="B101" s="70" t="s">
        <v>45</v>
      </c>
      <c r="C101" s="70" t="s">
        <v>47</v>
      </c>
      <c r="D101" s="70">
        <v>3</v>
      </c>
      <c r="E101" s="72" t="s">
        <v>19</v>
      </c>
      <c r="F101" s="72">
        <v>9.9</v>
      </c>
      <c r="G101" s="68">
        <v>3.4708000000000001</v>
      </c>
      <c r="H101" s="79">
        <f t="shared" si="11"/>
        <v>34.36092</v>
      </c>
      <c r="I101" s="70" t="s">
        <v>48</v>
      </c>
    </row>
    <row r="102" spans="1:9" ht="22.5" x14ac:dyDescent="0.25">
      <c r="A102" s="4">
        <v>10</v>
      </c>
      <c r="B102" s="70" t="s">
        <v>46</v>
      </c>
      <c r="C102" s="70" t="s">
        <v>47</v>
      </c>
      <c r="D102" s="70">
        <v>3</v>
      </c>
      <c r="E102" s="72" t="s">
        <v>19</v>
      </c>
      <c r="F102" s="72">
        <v>6.8</v>
      </c>
      <c r="G102" s="68">
        <v>3.4708000000000001</v>
      </c>
      <c r="H102" s="79">
        <f t="shared" si="11"/>
        <v>23.60144</v>
      </c>
      <c r="I102" s="70" t="s">
        <v>49</v>
      </c>
    </row>
    <row r="103" spans="1:9" x14ac:dyDescent="0.25">
      <c r="A103" s="2"/>
      <c r="B103" s="74" t="s">
        <v>44</v>
      </c>
      <c r="C103" s="74"/>
      <c r="D103" s="74"/>
      <c r="E103" s="74"/>
      <c r="F103" s="68"/>
      <c r="G103" s="68"/>
      <c r="H103" s="73">
        <f>SUM(H90:H102)</f>
        <v>468.85343449600009</v>
      </c>
      <c r="I103" s="74"/>
    </row>
    <row r="104" spans="1:9" x14ac:dyDescent="0.25">
      <c r="A104" s="2"/>
      <c r="B104" s="80" t="s">
        <v>122</v>
      </c>
      <c r="C104" s="74"/>
      <c r="D104" s="74"/>
      <c r="E104" s="74"/>
      <c r="F104" s="68"/>
      <c r="G104" s="68"/>
      <c r="H104" s="73">
        <f>H103/1973</f>
        <v>0.23763478687075523</v>
      </c>
      <c r="I104" s="74"/>
    </row>
    <row r="105" spans="1:9" ht="22.5" x14ac:dyDescent="0.25">
      <c r="A105" s="2"/>
      <c r="B105" s="80" t="s">
        <v>177</v>
      </c>
      <c r="C105" s="74"/>
      <c r="D105" s="74"/>
      <c r="E105" s="74"/>
      <c r="F105" s="68"/>
      <c r="G105" s="68"/>
      <c r="H105" s="81">
        <f>H104*1.12</f>
        <v>0.2661509612952459</v>
      </c>
      <c r="I105" s="74"/>
    </row>
    <row r="106" spans="1:9" x14ac:dyDescent="0.25">
      <c r="A106" s="9"/>
      <c r="B106" s="127"/>
      <c r="C106" s="127"/>
      <c r="D106" s="128"/>
      <c r="E106" s="128"/>
      <c r="F106" s="128"/>
      <c r="G106" s="128"/>
      <c r="H106" s="129"/>
      <c r="I106" s="83"/>
    </row>
    <row r="107" spans="1:9" x14ac:dyDescent="0.25">
      <c r="A107" s="3" t="s">
        <v>197</v>
      </c>
      <c r="B107" s="43" t="s">
        <v>183</v>
      </c>
      <c r="C107" s="44"/>
      <c r="D107" s="44"/>
      <c r="E107" s="44"/>
      <c r="F107" s="87"/>
      <c r="G107" s="87"/>
      <c r="H107" s="87"/>
      <c r="I107" s="88"/>
    </row>
    <row r="108" spans="1:9" ht="15" customHeight="1" x14ac:dyDescent="0.25">
      <c r="A108" s="46" t="s">
        <v>1</v>
      </c>
      <c r="B108" s="89" t="s">
        <v>178</v>
      </c>
      <c r="C108" s="90" t="s">
        <v>180</v>
      </c>
      <c r="D108" s="91"/>
      <c r="E108" s="90" t="s">
        <v>214</v>
      </c>
      <c r="F108" s="91"/>
      <c r="G108" s="90" t="s">
        <v>181</v>
      </c>
      <c r="H108" s="92"/>
      <c r="I108" s="91"/>
    </row>
    <row r="109" spans="1:9" x14ac:dyDescent="0.25">
      <c r="A109" s="47"/>
      <c r="B109" s="93"/>
      <c r="C109" s="94"/>
      <c r="D109" s="95"/>
      <c r="E109" s="94"/>
      <c r="F109" s="95"/>
      <c r="G109" s="94"/>
      <c r="H109" s="96"/>
      <c r="I109" s="95"/>
    </row>
    <row r="110" spans="1:9" ht="23.25" x14ac:dyDescent="0.25">
      <c r="A110" s="3">
        <v>1</v>
      </c>
      <c r="B110" s="97" t="s">
        <v>198</v>
      </c>
      <c r="C110" s="98">
        <f>H105</f>
        <v>0.2661509612952459</v>
      </c>
      <c r="D110" s="99"/>
      <c r="E110" s="100">
        <v>31461.66</v>
      </c>
      <c r="F110" s="101"/>
      <c r="G110" s="49">
        <f>C110*E110*12</f>
        <v>100482.61263533022</v>
      </c>
      <c r="H110" s="50"/>
      <c r="I110" s="51"/>
    </row>
    <row r="111" spans="1:9" x14ac:dyDescent="0.25">
      <c r="A111" s="9"/>
      <c r="B111" s="127"/>
      <c r="C111" s="127"/>
      <c r="D111" s="128"/>
      <c r="E111" s="128"/>
      <c r="F111" s="128"/>
      <c r="G111" s="128"/>
      <c r="H111" s="129"/>
      <c r="I111" s="83"/>
    </row>
    <row r="112" spans="1:9" x14ac:dyDescent="0.25">
      <c r="A112" s="9"/>
      <c r="B112" s="83"/>
      <c r="C112" s="83"/>
      <c r="D112" s="83"/>
      <c r="E112" s="83"/>
      <c r="F112" s="83"/>
      <c r="G112" s="83"/>
      <c r="H112" s="83"/>
      <c r="I112" s="83"/>
    </row>
    <row r="113" spans="1:14" x14ac:dyDescent="0.25">
      <c r="A113" s="3" t="s">
        <v>199</v>
      </c>
      <c r="B113" s="43" t="s">
        <v>184</v>
      </c>
      <c r="C113" s="44"/>
      <c r="D113" s="44"/>
      <c r="E113" s="44"/>
      <c r="F113" s="44"/>
      <c r="G113" s="44"/>
      <c r="H113" s="44"/>
      <c r="I113" s="45"/>
    </row>
    <row r="114" spans="1:14" ht="15.75" customHeight="1" x14ac:dyDescent="0.25">
      <c r="A114" s="31"/>
      <c r="B114" s="130" t="s">
        <v>96</v>
      </c>
      <c r="C114" s="131"/>
      <c r="D114" s="131"/>
      <c r="E114" s="131"/>
      <c r="F114" s="131"/>
      <c r="G114" s="131"/>
      <c r="H114" s="131"/>
      <c r="I114" s="132"/>
    </row>
    <row r="115" spans="1:14" x14ac:dyDescent="0.25">
      <c r="A115" s="46" t="s">
        <v>1</v>
      </c>
      <c r="B115" s="89" t="s">
        <v>52</v>
      </c>
      <c r="C115" s="90" t="s">
        <v>53</v>
      </c>
      <c r="D115" s="91"/>
      <c r="E115" s="89" t="s">
        <v>55</v>
      </c>
      <c r="F115" s="110" t="s">
        <v>59</v>
      </c>
      <c r="G115" s="111"/>
      <c r="H115" s="133" t="s">
        <v>57</v>
      </c>
      <c r="I115" s="89" t="s">
        <v>58</v>
      </c>
    </row>
    <row r="116" spans="1:14" ht="15" customHeight="1" x14ac:dyDescent="0.25">
      <c r="A116" s="47"/>
      <c r="B116" s="93"/>
      <c r="C116" s="94"/>
      <c r="D116" s="95"/>
      <c r="E116" s="93"/>
      <c r="F116" s="68" t="s">
        <v>54</v>
      </c>
      <c r="G116" s="68" t="s">
        <v>56</v>
      </c>
      <c r="H116" s="134"/>
      <c r="I116" s="93"/>
    </row>
    <row r="117" spans="1:14" ht="15" customHeight="1" x14ac:dyDescent="0.25">
      <c r="A117" s="12"/>
      <c r="B117" s="135" t="s">
        <v>230</v>
      </c>
      <c r="C117" s="136"/>
      <c r="D117" s="136"/>
      <c r="E117" s="136"/>
      <c r="F117" s="137"/>
      <c r="G117" s="68"/>
      <c r="H117" s="138"/>
      <c r="I117" s="61"/>
    </row>
    <row r="118" spans="1:14" x14ac:dyDescent="0.25">
      <c r="A118" s="10">
        <v>1</v>
      </c>
      <c r="B118" s="74" t="s">
        <v>64</v>
      </c>
      <c r="C118" s="90" t="s">
        <v>30</v>
      </c>
      <c r="D118" s="91"/>
      <c r="E118" s="68">
        <v>3.4708000000000001</v>
      </c>
      <c r="F118" s="68">
        <v>0.03</v>
      </c>
      <c r="G118" s="73">
        <f>E118*F118</f>
        <v>0.10412399999999999</v>
      </c>
      <c r="H118" s="106">
        <f>86.03*1.2</f>
        <v>103.236</v>
      </c>
      <c r="I118" s="107">
        <f>G118*H118</f>
        <v>10.749345264</v>
      </c>
    </row>
    <row r="119" spans="1:14" ht="15" customHeight="1" x14ac:dyDescent="0.25">
      <c r="A119" s="10">
        <v>2</v>
      </c>
      <c r="B119" s="74" t="s">
        <v>60</v>
      </c>
      <c r="C119" s="120"/>
      <c r="D119" s="121"/>
      <c r="E119" s="68">
        <v>3.4708000000000001</v>
      </c>
      <c r="F119" s="68">
        <v>3.77</v>
      </c>
      <c r="G119" s="73">
        <f>E119*F119</f>
        <v>13.084916</v>
      </c>
      <c r="H119" s="106">
        <f>35.76*1.2</f>
        <v>42.911999999999999</v>
      </c>
      <c r="I119" s="107">
        <f>G119*H119</f>
        <v>561.49991539199993</v>
      </c>
      <c r="N119" t="s">
        <v>11</v>
      </c>
    </row>
    <row r="120" spans="1:14" x14ac:dyDescent="0.25">
      <c r="A120" s="10">
        <v>3</v>
      </c>
      <c r="B120" s="74" t="s">
        <v>66</v>
      </c>
      <c r="C120" s="94"/>
      <c r="D120" s="95"/>
      <c r="E120" s="68">
        <v>3.4708000000000001</v>
      </c>
      <c r="F120" s="68">
        <v>0.03</v>
      </c>
      <c r="G120" s="73">
        <f t="shared" ref="G120:G188" si="13">E120*F120</f>
        <v>0.10412399999999999</v>
      </c>
      <c r="H120" s="106">
        <f>81000*1.2</f>
        <v>97200</v>
      </c>
      <c r="I120" s="107">
        <f t="shared" ref="I120:I188" si="14">G120*H120</f>
        <v>10120.852799999999</v>
      </c>
    </row>
    <row r="121" spans="1:14" x14ac:dyDescent="0.25">
      <c r="A121" s="10">
        <v>4</v>
      </c>
      <c r="B121" s="74" t="s">
        <v>61</v>
      </c>
      <c r="C121" s="122" t="s">
        <v>19</v>
      </c>
      <c r="D121" s="123"/>
      <c r="E121" s="68">
        <v>3.4708000000000001</v>
      </c>
      <c r="F121" s="68">
        <v>3.77</v>
      </c>
      <c r="G121" s="73">
        <f t="shared" si="13"/>
        <v>13.084916</v>
      </c>
      <c r="H121" s="106">
        <f>28.95*1.2</f>
        <v>34.739999999999995</v>
      </c>
      <c r="I121" s="107">
        <f t="shared" si="14"/>
        <v>454.56998183999991</v>
      </c>
    </row>
    <row r="122" spans="1:14" x14ac:dyDescent="0.25">
      <c r="A122" s="10">
        <v>5</v>
      </c>
      <c r="B122" s="74" t="s">
        <v>62</v>
      </c>
      <c r="C122" s="122" t="s">
        <v>19</v>
      </c>
      <c r="D122" s="123"/>
      <c r="E122" s="68">
        <v>3.4708000000000001</v>
      </c>
      <c r="F122" s="68">
        <v>0.03</v>
      </c>
      <c r="G122" s="73">
        <f t="shared" si="13"/>
        <v>0.10412399999999999</v>
      </c>
      <c r="H122" s="106">
        <f>4557.6*1.2</f>
        <v>5469.12</v>
      </c>
      <c r="I122" s="107">
        <f t="shared" si="14"/>
        <v>569.46665087999997</v>
      </c>
    </row>
    <row r="123" spans="1:14" x14ac:dyDescent="0.25">
      <c r="A123" s="10"/>
      <c r="B123" s="74" t="s">
        <v>231</v>
      </c>
      <c r="C123" s="139"/>
      <c r="D123" s="140"/>
      <c r="E123" s="68"/>
      <c r="F123" s="68"/>
      <c r="G123" s="73"/>
      <c r="H123" s="106"/>
      <c r="I123" s="107"/>
    </row>
    <row r="124" spans="1:14" x14ac:dyDescent="0.25">
      <c r="A124" s="10">
        <v>6</v>
      </c>
      <c r="B124" s="74" t="s">
        <v>63</v>
      </c>
      <c r="C124" s="122" t="s">
        <v>19</v>
      </c>
      <c r="D124" s="123"/>
      <c r="E124" s="68">
        <v>3.4708000000000001</v>
      </c>
      <c r="F124" s="68">
        <v>3.73E-2</v>
      </c>
      <c r="G124" s="73">
        <f t="shared" si="13"/>
        <v>0.12946083999999999</v>
      </c>
      <c r="H124" s="106">
        <f>5689.44*1.2</f>
        <v>6827.3279999999995</v>
      </c>
      <c r="I124" s="107">
        <f t="shared" si="14"/>
        <v>883.87161783551994</v>
      </c>
    </row>
    <row r="125" spans="1:14" ht="14.25" customHeight="1" x14ac:dyDescent="0.25">
      <c r="A125" s="10"/>
      <c r="B125" s="135" t="s">
        <v>232</v>
      </c>
      <c r="C125" s="136"/>
      <c r="D125" s="136"/>
      <c r="E125" s="136"/>
      <c r="F125" s="137"/>
      <c r="G125" s="73"/>
      <c r="H125" s="106"/>
      <c r="I125" s="107"/>
    </row>
    <row r="126" spans="1:14" x14ac:dyDescent="0.25">
      <c r="A126" s="10">
        <v>7</v>
      </c>
      <c r="B126" s="74" t="s">
        <v>67</v>
      </c>
      <c r="C126" s="122" t="s">
        <v>19</v>
      </c>
      <c r="D126" s="123"/>
      <c r="E126" s="68">
        <v>3.4708000000000001</v>
      </c>
      <c r="F126" s="68">
        <v>4.7</v>
      </c>
      <c r="G126" s="73">
        <f t="shared" si="13"/>
        <v>16.312760000000001</v>
      </c>
      <c r="H126" s="106">
        <f>402.62*1.2</f>
        <v>483.14400000000001</v>
      </c>
      <c r="I126" s="107">
        <f t="shared" si="14"/>
        <v>7881.4121174400007</v>
      </c>
    </row>
    <row r="127" spans="1:14" x14ac:dyDescent="0.25">
      <c r="A127" s="10">
        <v>8</v>
      </c>
      <c r="B127" s="74" t="s">
        <v>68</v>
      </c>
      <c r="C127" s="122" t="s">
        <v>19</v>
      </c>
      <c r="D127" s="123"/>
      <c r="E127" s="68">
        <v>3.4708000000000001</v>
      </c>
      <c r="F127" s="68">
        <f>0.87+1.21+1.52</f>
        <v>3.6</v>
      </c>
      <c r="G127" s="73">
        <f t="shared" si="13"/>
        <v>12.49488</v>
      </c>
      <c r="H127" s="106">
        <f>102.49*1.2</f>
        <v>122.98799999999999</v>
      </c>
      <c r="I127" s="107">
        <f t="shared" si="14"/>
        <v>1536.7203014399997</v>
      </c>
    </row>
    <row r="128" spans="1:14" x14ac:dyDescent="0.25">
      <c r="A128" s="10">
        <v>9</v>
      </c>
      <c r="B128" s="74" t="s">
        <v>64</v>
      </c>
      <c r="C128" s="122" t="s">
        <v>19</v>
      </c>
      <c r="D128" s="123"/>
      <c r="E128" s="68">
        <v>3.4708000000000001</v>
      </c>
      <c r="F128" s="68">
        <v>0.01</v>
      </c>
      <c r="G128" s="73">
        <f t="shared" si="13"/>
        <v>3.4708000000000003E-2</v>
      </c>
      <c r="H128" s="106">
        <f>86.03*1.2</f>
        <v>103.236</v>
      </c>
      <c r="I128" s="107">
        <f t="shared" si="14"/>
        <v>3.5831150880000004</v>
      </c>
    </row>
    <row r="129" spans="1:9" x14ac:dyDescent="0.25">
      <c r="A129" s="10">
        <v>10</v>
      </c>
      <c r="B129" s="74" t="s">
        <v>65</v>
      </c>
      <c r="C129" s="122" t="s">
        <v>19</v>
      </c>
      <c r="D129" s="123"/>
      <c r="E129" s="68">
        <v>3.4708000000000001</v>
      </c>
      <c r="F129" s="68">
        <v>0.98</v>
      </c>
      <c r="G129" s="73">
        <f t="shared" si="13"/>
        <v>3.4013840000000002</v>
      </c>
      <c r="H129" s="106">
        <f>143.47*1.2</f>
        <v>172.16399999999999</v>
      </c>
      <c r="I129" s="107">
        <f t="shared" si="14"/>
        <v>585.595874976</v>
      </c>
    </row>
    <row r="130" spans="1:9" x14ac:dyDescent="0.25">
      <c r="A130" s="10">
        <v>11</v>
      </c>
      <c r="B130" s="74" t="s">
        <v>69</v>
      </c>
      <c r="C130" s="122" t="s">
        <v>19</v>
      </c>
      <c r="D130" s="123"/>
      <c r="E130" s="68">
        <v>3.4708000000000001</v>
      </c>
      <c r="F130" s="68">
        <v>19.66</v>
      </c>
      <c r="G130" s="73">
        <f t="shared" si="13"/>
        <v>68.235928000000001</v>
      </c>
      <c r="H130" s="106">
        <f>17.46*1.2</f>
        <v>20.952000000000002</v>
      </c>
      <c r="I130" s="107">
        <f t="shared" si="14"/>
        <v>1429.6791634560002</v>
      </c>
    </row>
    <row r="131" spans="1:9" ht="14.25" customHeight="1" x14ac:dyDescent="0.25">
      <c r="A131" s="10"/>
      <c r="B131" s="135" t="s">
        <v>233</v>
      </c>
      <c r="C131" s="136"/>
      <c r="D131" s="136"/>
      <c r="E131" s="136"/>
      <c r="F131" s="137"/>
      <c r="G131" s="73"/>
      <c r="H131" s="106"/>
      <c r="I131" s="107"/>
    </row>
    <row r="132" spans="1:9" x14ac:dyDescent="0.25">
      <c r="A132" s="10">
        <v>12</v>
      </c>
      <c r="B132" s="74" t="s">
        <v>70</v>
      </c>
      <c r="C132" s="122" t="s">
        <v>19</v>
      </c>
      <c r="D132" s="123"/>
      <c r="E132" s="68">
        <v>3.4708000000000001</v>
      </c>
      <c r="F132" s="68">
        <v>0.48</v>
      </c>
      <c r="G132" s="73">
        <f t="shared" si="13"/>
        <v>1.6659839999999999</v>
      </c>
      <c r="H132" s="106">
        <f>188.78*1.2</f>
        <v>226.536</v>
      </c>
      <c r="I132" s="107">
        <f t="shared" si="14"/>
        <v>377.405351424</v>
      </c>
    </row>
    <row r="133" spans="1:9" x14ac:dyDescent="0.25">
      <c r="A133" s="10">
        <v>13</v>
      </c>
      <c r="B133" s="74" t="s">
        <v>71</v>
      </c>
      <c r="C133" s="122" t="s">
        <v>19</v>
      </c>
      <c r="D133" s="123"/>
      <c r="E133" s="68">
        <v>3.4708000000000001</v>
      </c>
      <c r="F133" s="68">
        <v>0.02</v>
      </c>
      <c r="G133" s="73">
        <f t="shared" si="13"/>
        <v>6.9416000000000005E-2</v>
      </c>
      <c r="H133" s="106">
        <f>17416.08*1.2</f>
        <v>20899.296000000002</v>
      </c>
      <c r="I133" s="107">
        <f t="shared" si="14"/>
        <v>1450.7455311360002</v>
      </c>
    </row>
    <row r="134" spans="1:9" x14ac:dyDescent="0.25">
      <c r="A134" s="10">
        <v>14</v>
      </c>
      <c r="B134" s="74" t="s">
        <v>72</v>
      </c>
      <c r="C134" s="122" t="s">
        <v>19</v>
      </c>
      <c r="D134" s="123"/>
      <c r="E134" s="68">
        <v>3.4708000000000001</v>
      </c>
      <c r="F134" s="68">
        <v>0.38</v>
      </c>
      <c r="G134" s="73">
        <f t="shared" si="13"/>
        <v>1.3189040000000001</v>
      </c>
      <c r="H134" s="106">
        <f>164.11*1.2</f>
        <v>196.93200000000002</v>
      </c>
      <c r="I134" s="107">
        <f t="shared" si="14"/>
        <v>259.73440252800003</v>
      </c>
    </row>
    <row r="135" spans="1:9" x14ac:dyDescent="0.25">
      <c r="A135" s="10">
        <v>15</v>
      </c>
      <c r="B135" s="74" t="s">
        <v>73</v>
      </c>
      <c r="C135" s="122" t="s">
        <v>19</v>
      </c>
      <c r="D135" s="123"/>
      <c r="E135" s="68">
        <v>3.4708000000000001</v>
      </c>
      <c r="F135" s="68">
        <v>0.79</v>
      </c>
      <c r="G135" s="73">
        <f t="shared" si="13"/>
        <v>2.7419320000000003</v>
      </c>
      <c r="H135" s="106">
        <f>93.34*1.2</f>
        <v>112.008</v>
      </c>
      <c r="I135" s="107">
        <f t="shared" si="14"/>
        <v>307.11831945599999</v>
      </c>
    </row>
    <row r="136" spans="1:9" x14ac:dyDescent="0.25">
      <c r="A136" s="10">
        <v>16</v>
      </c>
      <c r="B136" s="74" t="s">
        <v>74</v>
      </c>
      <c r="C136" s="122" t="s">
        <v>19</v>
      </c>
      <c r="D136" s="123"/>
      <c r="E136" s="68">
        <v>3.4708000000000001</v>
      </c>
      <c r="F136" s="68">
        <v>0.09</v>
      </c>
      <c r="G136" s="73">
        <f t="shared" si="13"/>
        <v>0.31237199999999998</v>
      </c>
      <c r="H136" s="106">
        <f>36.9*1.2</f>
        <v>44.279999999999994</v>
      </c>
      <c r="I136" s="107">
        <f t="shared" si="14"/>
        <v>13.831832159999998</v>
      </c>
    </row>
    <row r="137" spans="1:9" x14ac:dyDescent="0.25">
      <c r="A137" s="10">
        <v>17</v>
      </c>
      <c r="B137" s="74" t="s">
        <v>75</v>
      </c>
      <c r="C137" s="122" t="s">
        <v>19</v>
      </c>
      <c r="D137" s="123"/>
      <c r="E137" s="68">
        <v>3.4708000000000001</v>
      </c>
      <c r="F137" s="68">
        <v>0.2</v>
      </c>
      <c r="G137" s="73">
        <f t="shared" si="13"/>
        <v>0.69416000000000011</v>
      </c>
      <c r="H137" s="106">
        <f>87.87*1.2</f>
        <v>105.444</v>
      </c>
      <c r="I137" s="107">
        <f t="shared" si="14"/>
        <v>73.195007040000007</v>
      </c>
    </row>
    <row r="138" spans="1:9" x14ac:dyDescent="0.25">
      <c r="A138" s="10">
        <v>18</v>
      </c>
      <c r="B138" s="74" t="s">
        <v>76</v>
      </c>
      <c r="C138" s="122" t="s">
        <v>19</v>
      </c>
      <c r="D138" s="123"/>
      <c r="E138" s="68">
        <v>3.4708000000000001</v>
      </c>
      <c r="F138" s="68">
        <v>0.02</v>
      </c>
      <c r="G138" s="73">
        <f t="shared" si="13"/>
        <v>6.9416000000000005E-2</v>
      </c>
      <c r="H138" s="106">
        <f>491.35*1.2</f>
        <v>589.62</v>
      </c>
      <c r="I138" s="107">
        <f t="shared" si="14"/>
        <v>40.929061920000002</v>
      </c>
    </row>
    <row r="139" spans="1:9" x14ac:dyDescent="0.25">
      <c r="A139" s="10">
        <v>19</v>
      </c>
      <c r="B139" s="74" t="s">
        <v>77</v>
      </c>
      <c r="C139" s="122" t="s">
        <v>19</v>
      </c>
      <c r="D139" s="123"/>
      <c r="E139" s="68">
        <v>3.4708000000000001</v>
      </c>
      <c r="F139" s="68">
        <v>0.16</v>
      </c>
      <c r="G139" s="73">
        <f t="shared" si="13"/>
        <v>0.55532800000000004</v>
      </c>
      <c r="H139" s="106">
        <f>56.08*1.2</f>
        <v>67.295999999999992</v>
      </c>
      <c r="I139" s="107">
        <f t="shared" si="14"/>
        <v>37.371353087999999</v>
      </c>
    </row>
    <row r="140" spans="1:9" x14ac:dyDescent="0.25">
      <c r="A140" s="10">
        <v>20</v>
      </c>
      <c r="B140" s="74" t="s">
        <v>78</v>
      </c>
      <c r="C140" s="122" t="s">
        <v>19</v>
      </c>
      <c r="D140" s="123"/>
      <c r="E140" s="68">
        <v>3.4708000000000001</v>
      </c>
      <c r="F140" s="68">
        <v>0.317</v>
      </c>
      <c r="G140" s="73">
        <f t="shared" si="13"/>
        <v>1.1002436</v>
      </c>
      <c r="H140" s="106">
        <f>14.77*1.2</f>
        <v>17.724</v>
      </c>
      <c r="I140" s="107">
        <f t="shared" si="14"/>
        <v>19.500717566399999</v>
      </c>
    </row>
    <row r="141" spans="1:9" x14ac:dyDescent="0.25">
      <c r="A141" s="10">
        <v>21</v>
      </c>
      <c r="B141" s="74" t="s">
        <v>79</v>
      </c>
      <c r="C141" s="122" t="s">
        <v>19</v>
      </c>
      <c r="D141" s="123"/>
      <c r="E141" s="68">
        <v>3.4708000000000001</v>
      </c>
      <c r="F141" s="68">
        <v>0.63300000000000001</v>
      </c>
      <c r="G141" s="73">
        <f t="shared" si="13"/>
        <v>2.1970164000000003</v>
      </c>
      <c r="H141" s="106">
        <f>66.77*1.2</f>
        <v>80.123999999999995</v>
      </c>
      <c r="I141" s="107">
        <f t="shared" si="14"/>
        <v>176.03374203360002</v>
      </c>
    </row>
    <row r="142" spans="1:9" x14ac:dyDescent="0.25">
      <c r="A142" s="10">
        <v>22</v>
      </c>
      <c r="B142" s="74" t="s">
        <v>80</v>
      </c>
      <c r="C142" s="122" t="s">
        <v>19</v>
      </c>
      <c r="D142" s="123"/>
      <c r="E142" s="68">
        <v>3.4708000000000001</v>
      </c>
      <c r="F142" s="68">
        <v>1E-3</v>
      </c>
      <c r="G142" s="73">
        <f t="shared" si="13"/>
        <v>3.4708E-3</v>
      </c>
      <c r="H142" s="106">
        <f>4924.28*1.2</f>
        <v>5909.1359999999995</v>
      </c>
      <c r="I142" s="107">
        <f t="shared" si="14"/>
        <v>20.509429228799998</v>
      </c>
    </row>
    <row r="143" spans="1:9" x14ac:dyDescent="0.25">
      <c r="A143" s="10">
        <v>23</v>
      </c>
      <c r="B143" s="74" t="s">
        <v>81</v>
      </c>
      <c r="C143" s="122" t="s">
        <v>19</v>
      </c>
      <c r="D143" s="123"/>
      <c r="E143" s="68">
        <v>3.4708000000000001</v>
      </c>
      <c r="F143" s="68">
        <v>9.0999999999999998E-2</v>
      </c>
      <c r="G143" s="73">
        <f t="shared" si="13"/>
        <v>0.31584279999999998</v>
      </c>
      <c r="H143" s="106">
        <f>118.1*1.2</f>
        <v>141.72</v>
      </c>
      <c r="I143" s="107">
        <f t="shared" si="14"/>
        <v>44.761241616</v>
      </c>
    </row>
    <row r="144" spans="1:9" x14ac:dyDescent="0.25">
      <c r="A144" s="10">
        <v>24</v>
      </c>
      <c r="B144" s="74" t="s">
        <v>82</v>
      </c>
      <c r="C144" s="122" t="s">
        <v>19</v>
      </c>
      <c r="D144" s="123"/>
      <c r="E144" s="68">
        <v>3.4708000000000001</v>
      </c>
      <c r="F144" s="68">
        <v>2.5999999999999999E-2</v>
      </c>
      <c r="G144" s="73">
        <f t="shared" si="13"/>
        <v>9.0240799999999996E-2</v>
      </c>
      <c r="H144" s="106">
        <f>340.2*1.2</f>
        <v>408.23999999999995</v>
      </c>
      <c r="I144" s="107">
        <f t="shared" si="14"/>
        <v>36.839904191999992</v>
      </c>
    </row>
    <row r="145" spans="1:9" x14ac:dyDescent="0.25">
      <c r="A145" s="10">
        <v>25</v>
      </c>
      <c r="B145" s="74" t="s">
        <v>83</v>
      </c>
      <c r="C145" s="122" t="s">
        <v>19</v>
      </c>
      <c r="D145" s="123"/>
      <c r="E145" s="68">
        <v>3.4708000000000001</v>
      </c>
      <c r="F145" s="68">
        <v>8.9999999999999993E-3</v>
      </c>
      <c r="G145" s="73">
        <f t="shared" si="13"/>
        <v>3.12372E-2</v>
      </c>
      <c r="H145" s="106">
        <f>210.65*1.2</f>
        <v>252.78</v>
      </c>
      <c r="I145" s="107">
        <f t="shared" si="14"/>
        <v>7.8961394159999996</v>
      </c>
    </row>
    <row r="146" spans="1:9" x14ac:dyDescent="0.25">
      <c r="A146" s="10">
        <v>26</v>
      </c>
      <c r="B146" s="74" t="s">
        <v>84</v>
      </c>
      <c r="C146" s="122" t="s">
        <v>19</v>
      </c>
      <c r="D146" s="123"/>
      <c r="E146" s="68">
        <v>3.4708000000000001</v>
      </c>
      <c r="F146" s="68">
        <v>0.02</v>
      </c>
      <c r="G146" s="73">
        <f t="shared" si="13"/>
        <v>6.9416000000000005E-2</v>
      </c>
      <c r="H146" s="106">
        <f>108.8*1.2</f>
        <v>130.56</v>
      </c>
      <c r="I146" s="107">
        <f t="shared" si="14"/>
        <v>9.0629529600000005</v>
      </c>
    </row>
    <row r="147" spans="1:9" x14ac:dyDescent="0.25">
      <c r="A147" s="10"/>
      <c r="B147" s="135" t="s">
        <v>234</v>
      </c>
      <c r="C147" s="136"/>
      <c r="D147" s="136"/>
      <c r="E147" s="136"/>
      <c r="F147" s="136"/>
      <c r="G147" s="137"/>
      <c r="H147" s="106"/>
      <c r="I147" s="107"/>
    </row>
    <row r="148" spans="1:9" x14ac:dyDescent="0.25">
      <c r="A148" s="10">
        <v>27</v>
      </c>
      <c r="B148" s="74" t="s">
        <v>85</v>
      </c>
      <c r="C148" s="122" t="s">
        <v>19</v>
      </c>
      <c r="D148" s="123"/>
      <c r="E148" s="68">
        <v>3.4708000000000001</v>
      </c>
      <c r="F148" s="68">
        <v>2.92</v>
      </c>
      <c r="G148" s="73">
        <f t="shared" si="13"/>
        <v>10.134736</v>
      </c>
      <c r="H148" s="106">
        <f>142.3*1.2</f>
        <v>170.76000000000002</v>
      </c>
      <c r="I148" s="107">
        <f t="shared" si="14"/>
        <v>1730.6075193600002</v>
      </c>
    </row>
    <row r="149" spans="1:9" x14ac:dyDescent="0.25">
      <c r="A149" s="10">
        <v>28</v>
      </c>
      <c r="B149" s="74" t="s">
        <v>86</v>
      </c>
      <c r="C149" s="122" t="s">
        <v>19</v>
      </c>
      <c r="D149" s="123"/>
      <c r="E149" s="68">
        <v>3.4708000000000001</v>
      </c>
      <c r="F149" s="68">
        <v>3.33</v>
      </c>
      <c r="G149" s="73">
        <f t="shared" si="13"/>
        <v>11.557764000000001</v>
      </c>
      <c r="H149" s="106">
        <f>184.13*1.2</f>
        <v>220.95599999999999</v>
      </c>
      <c r="I149" s="107">
        <f t="shared" si="14"/>
        <v>2553.757302384</v>
      </c>
    </row>
    <row r="150" spans="1:9" x14ac:dyDescent="0.25">
      <c r="A150" s="10">
        <v>29</v>
      </c>
      <c r="B150" s="74" t="s">
        <v>87</v>
      </c>
      <c r="C150" s="122" t="s">
        <v>19</v>
      </c>
      <c r="D150" s="123"/>
      <c r="E150" s="68">
        <v>3.4708000000000001</v>
      </c>
      <c r="F150" s="68">
        <v>0.42</v>
      </c>
      <c r="G150" s="73">
        <f t="shared" si="13"/>
        <v>1.4577359999999999</v>
      </c>
      <c r="H150" s="106">
        <f>296.81*1.2</f>
        <v>356.17199999999997</v>
      </c>
      <c r="I150" s="107">
        <f t="shared" si="14"/>
        <v>519.20474659199988</v>
      </c>
    </row>
    <row r="151" spans="1:9" x14ac:dyDescent="0.25">
      <c r="A151" s="10">
        <v>30</v>
      </c>
      <c r="B151" s="74" t="s">
        <v>88</v>
      </c>
      <c r="C151" s="122" t="s">
        <v>19</v>
      </c>
      <c r="D151" s="123"/>
      <c r="E151" s="68">
        <v>3.4708000000000001</v>
      </c>
      <c r="F151" s="68">
        <v>0.39</v>
      </c>
      <c r="G151" s="73">
        <f t="shared" si="13"/>
        <v>1.353612</v>
      </c>
      <c r="H151" s="106">
        <f>388.96*1.2</f>
        <v>466.75199999999995</v>
      </c>
      <c r="I151" s="107">
        <f t="shared" si="14"/>
        <v>631.8011082239999</v>
      </c>
    </row>
    <row r="152" spans="1:9" x14ac:dyDescent="0.25">
      <c r="A152" s="10">
        <v>31</v>
      </c>
      <c r="B152" s="74" t="s">
        <v>89</v>
      </c>
      <c r="C152" s="122" t="s">
        <v>19</v>
      </c>
      <c r="D152" s="123"/>
      <c r="E152" s="68">
        <v>3.4708000000000001</v>
      </c>
      <c r="F152" s="68">
        <v>1.51</v>
      </c>
      <c r="G152" s="73">
        <f t="shared" si="13"/>
        <v>5.2409080000000001</v>
      </c>
      <c r="H152" s="106">
        <f>430.03*1.2</f>
        <v>516.03599999999994</v>
      </c>
      <c r="I152" s="107">
        <f t="shared" si="14"/>
        <v>2704.4972006879998</v>
      </c>
    </row>
    <row r="153" spans="1:9" x14ac:dyDescent="0.25">
      <c r="A153" s="10">
        <v>32</v>
      </c>
      <c r="B153" s="74" t="s">
        <v>90</v>
      </c>
      <c r="C153" s="122" t="s">
        <v>19</v>
      </c>
      <c r="D153" s="123"/>
      <c r="E153" s="68">
        <v>3.4708000000000001</v>
      </c>
      <c r="F153" s="68">
        <v>1.89</v>
      </c>
      <c r="G153" s="73">
        <f t="shared" si="13"/>
        <v>6.559812</v>
      </c>
      <c r="H153" s="106">
        <f>326.83*1.2</f>
        <v>392.19599999999997</v>
      </c>
      <c r="I153" s="107">
        <f t="shared" si="14"/>
        <v>2572.7320271519998</v>
      </c>
    </row>
    <row r="154" spans="1:9" x14ac:dyDescent="0.25">
      <c r="A154" s="10">
        <v>33</v>
      </c>
      <c r="B154" s="74" t="s">
        <v>91</v>
      </c>
      <c r="C154" s="122" t="s">
        <v>19</v>
      </c>
      <c r="D154" s="123"/>
      <c r="E154" s="68">
        <v>3.4708000000000001</v>
      </c>
      <c r="F154" s="68">
        <v>0.1</v>
      </c>
      <c r="G154" s="73">
        <f t="shared" si="13"/>
        <v>0.34708000000000006</v>
      </c>
      <c r="H154" s="106">
        <f>208.9*1.2</f>
        <v>250.68</v>
      </c>
      <c r="I154" s="107">
        <f t="shared" si="14"/>
        <v>87.006014400000012</v>
      </c>
    </row>
    <row r="155" spans="1:9" x14ac:dyDescent="0.25">
      <c r="A155" s="10">
        <v>34</v>
      </c>
      <c r="B155" s="74" t="s">
        <v>92</v>
      </c>
      <c r="C155" s="122" t="s">
        <v>19</v>
      </c>
      <c r="D155" s="123"/>
      <c r="E155" s="68">
        <v>3.4708000000000001</v>
      </c>
      <c r="F155" s="68">
        <v>0.04</v>
      </c>
      <c r="G155" s="73">
        <f t="shared" si="13"/>
        <v>0.13883200000000001</v>
      </c>
      <c r="H155" s="106">
        <f>112.83*1.2</f>
        <v>135.39599999999999</v>
      </c>
      <c r="I155" s="107">
        <f t="shared" si="14"/>
        <v>18.797297472</v>
      </c>
    </row>
    <row r="156" spans="1:9" x14ac:dyDescent="0.25">
      <c r="A156" s="10">
        <v>35</v>
      </c>
      <c r="B156" s="74" t="s">
        <v>93</v>
      </c>
      <c r="C156" s="122" t="s">
        <v>19</v>
      </c>
      <c r="D156" s="123"/>
      <c r="E156" s="68">
        <v>3.4708000000000001</v>
      </c>
      <c r="F156" s="68">
        <v>0.05</v>
      </c>
      <c r="G156" s="73">
        <f t="shared" si="13"/>
        <v>0.17354000000000003</v>
      </c>
      <c r="H156" s="106">
        <f>116.06*1.2</f>
        <v>139.27199999999999</v>
      </c>
      <c r="I156" s="107">
        <f t="shared" si="14"/>
        <v>24.169262880000002</v>
      </c>
    </row>
    <row r="157" spans="1:9" x14ac:dyDescent="0.25">
      <c r="A157" s="10">
        <v>36</v>
      </c>
      <c r="B157" s="74" t="s">
        <v>94</v>
      </c>
      <c r="C157" s="122" t="s">
        <v>19</v>
      </c>
      <c r="D157" s="123"/>
      <c r="E157" s="68">
        <v>3.4708000000000001</v>
      </c>
      <c r="F157" s="68">
        <v>1.0900000000000001</v>
      </c>
      <c r="G157" s="73">
        <f t="shared" si="13"/>
        <v>3.7831720000000004</v>
      </c>
      <c r="H157" s="106">
        <f>203.9*1.2</f>
        <v>244.68</v>
      </c>
      <c r="I157" s="107">
        <f t="shared" si="14"/>
        <v>925.66652496000017</v>
      </c>
    </row>
    <row r="158" spans="1:9" x14ac:dyDescent="0.25">
      <c r="A158" s="10">
        <v>37</v>
      </c>
      <c r="B158" s="74" t="s">
        <v>95</v>
      </c>
      <c r="C158" s="122" t="s">
        <v>19</v>
      </c>
      <c r="D158" s="123"/>
      <c r="E158" s="68">
        <v>3.4708000000000001</v>
      </c>
      <c r="F158" s="68">
        <v>0.02</v>
      </c>
      <c r="G158" s="73">
        <f t="shared" si="13"/>
        <v>6.9416000000000005E-2</v>
      </c>
      <c r="H158" s="106">
        <f>243.97*1.2</f>
        <v>292.76400000000001</v>
      </c>
      <c r="I158" s="107">
        <f t="shared" si="14"/>
        <v>20.322505824000004</v>
      </c>
    </row>
    <row r="159" spans="1:9" x14ac:dyDescent="0.25">
      <c r="A159" s="10">
        <v>38</v>
      </c>
      <c r="B159" s="74" t="s">
        <v>97</v>
      </c>
      <c r="C159" s="122" t="s">
        <v>19</v>
      </c>
      <c r="D159" s="123"/>
      <c r="E159" s="68">
        <v>3.4708000000000001</v>
      </c>
      <c r="F159" s="68">
        <v>0.36</v>
      </c>
      <c r="G159" s="73">
        <f t="shared" si="13"/>
        <v>1.2494879999999999</v>
      </c>
      <c r="H159" s="106">
        <f>4502.94*1.2</f>
        <v>5403.5279999999993</v>
      </c>
      <c r="I159" s="107">
        <f t="shared" si="14"/>
        <v>6751.6433936639987</v>
      </c>
    </row>
    <row r="160" spans="1:9" x14ac:dyDescent="0.25">
      <c r="A160" s="10">
        <v>39</v>
      </c>
      <c r="B160" s="74" t="s">
        <v>98</v>
      </c>
      <c r="C160" s="122" t="s">
        <v>19</v>
      </c>
      <c r="D160" s="123"/>
      <c r="E160" s="68">
        <v>3.4708000000000001</v>
      </c>
      <c r="F160" s="68">
        <v>0.95</v>
      </c>
      <c r="G160" s="73">
        <f t="shared" si="13"/>
        <v>3.2972600000000001</v>
      </c>
      <c r="H160" s="106">
        <f>96.22*1.2</f>
        <v>115.464</v>
      </c>
      <c r="I160" s="107">
        <f t="shared" si="14"/>
        <v>380.71482864000001</v>
      </c>
    </row>
    <row r="161" spans="1:9" x14ac:dyDescent="0.25">
      <c r="A161" s="10">
        <v>40</v>
      </c>
      <c r="B161" s="74" t="s">
        <v>99</v>
      </c>
      <c r="C161" s="122" t="s">
        <v>19</v>
      </c>
      <c r="D161" s="123"/>
      <c r="E161" s="68">
        <v>3.4708000000000001</v>
      </c>
      <c r="F161" s="68">
        <v>1.627</v>
      </c>
      <c r="G161" s="73">
        <f t="shared" si="13"/>
        <v>5.6469915999999998</v>
      </c>
      <c r="H161" s="106">
        <f>5008.5*1.2</f>
        <v>6010.2</v>
      </c>
      <c r="I161" s="107">
        <f t="shared" si="14"/>
        <v>33939.548914319996</v>
      </c>
    </row>
    <row r="162" spans="1:9" x14ac:dyDescent="0.25">
      <c r="A162" s="10">
        <v>41</v>
      </c>
      <c r="B162" s="74" t="s">
        <v>100</v>
      </c>
      <c r="C162" s="122" t="s">
        <v>19</v>
      </c>
      <c r="D162" s="123"/>
      <c r="E162" s="68">
        <v>3.4708000000000001</v>
      </c>
      <c r="F162" s="68">
        <v>4.7999999999999996E-3</v>
      </c>
      <c r="G162" s="73">
        <f t="shared" si="13"/>
        <v>1.6659839999999999E-2</v>
      </c>
      <c r="H162" s="106">
        <f>1003.89*1.2</f>
        <v>1204.6679999999999</v>
      </c>
      <c r="I162" s="107">
        <f t="shared" si="14"/>
        <v>20.069576133119998</v>
      </c>
    </row>
    <row r="163" spans="1:9" x14ac:dyDescent="0.25">
      <c r="A163" s="10">
        <v>42</v>
      </c>
      <c r="B163" s="74" t="s">
        <v>101</v>
      </c>
      <c r="C163" s="122" t="s">
        <v>19</v>
      </c>
      <c r="D163" s="123"/>
      <c r="E163" s="68">
        <v>3.4708000000000001</v>
      </c>
      <c r="F163" s="68">
        <v>0.57999999999999996</v>
      </c>
      <c r="G163" s="73">
        <f t="shared" si="13"/>
        <v>2.013064</v>
      </c>
      <c r="H163" s="106">
        <f>108.74*1.2</f>
        <v>130.488</v>
      </c>
      <c r="I163" s="107">
        <f t="shared" si="14"/>
        <v>262.68069523200001</v>
      </c>
    </row>
    <row r="164" spans="1:9" x14ac:dyDescent="0.25">
      <c r="A164" s="10">
        <v>43</v>
      </c>
      <c r="B164" s="74" t="s">
        <v>102</v>
      </c>
      <c r="C164" s="122" t="s">
        <v>19</v>
      </c>
      <c r="D164" s="123"/>
      <c r="E164" s="68">
        <v>3.4708000000000001</v>
      </c>
      <c r="F164" s="68">
        <v>0.18</v>
      </c>
      <c r="G164" s="73">
        <f t="shared" si="13"/>
        <v>0.62474399999999997</v>
      </c>
      <c r="H164" s="106">
        <f>14320.8*1.2</f>
        <v>17184.96</v>
      </c>
      <c r="I164" s="107">
        <f t="shared" si="14"/>
        <v>10736.200650239998</v>
      </c>
    </row>
    <row r="165" spans="1:9" ht="22.5" x14ac:dyDescent="0.25">
      <c r="A165" s="10">
        <v>44</v>
      </c>
      <c r="B165" s="74" t="s">
        <v>103</v>
      </c>
      <c r="C165" s="122" t="s">
        <v>19</v>
      </c>
      <c r="D165" s="123"/>
      <c r="E165" s="68">
        <v>3.4708000000000001</v>
      </c>
      <c r="F165" s="68">
        <v>4.1399999999999997</v>
      </c>
      <c r="G165" s="73">
        <f t="shared" si="13"/>
        <v>14.369111999999999</v>
      </c>
      <c r="H165" s="106">
        <f>89.13*1.2</f>
        <v>106.95599999999999</v>
      </c>
      <c r="I165" s="107">
        <f t="shared" si="14"/>
        <v>1536.8627430719998</v>
      </c>
    </row>
    <row r="166" spans="1:9" x14ac:dyDescent="0.25">
      <c r="A166" s="10">
        <v>45</v>
      </c>
      <c r="B166" s="74" t="s">
        <v>104</v>
      </c>
      <c r="C166" s="122" t="s">
        <v>19</v>
      </c>
      <c r="D166" s="123"/>
      <c r="E166" s="68">
        <v>3.4708000000000001</v>
      </c>
      <c r="F166" s="68">
        <v>3.02</v>
      </c>
      <c r="G166" s="73">
        <f t="shared" si="13"/>
        <v>10.481816</v>
      </c>
      <c r="H166" s="106">
        <f>5983.2*1.2</f>
        <v>7179.8399999999992</v>
      </c>
      <c r="I166" s="107">
        <f t="shared" si="14"/>
        <v>75257.761789439988</v>
      </c>
    </row>
    <row r="167" spans="1:9" x14ac:dyDescent="0.25">
      <c r="A167" s="10">
        <v>46</v>
      </c>
      <c r="B167" s="74" t="s">
        <v>105</v>
      </c>
      <c r="C167" s="122" t="s">
        <v>19</v>
      </c>
      <c r="D167" s="123"/>
      <c r="E167" s="68">
        <v>3.4708000000000001</v>
      </c>
      <c r="F167" s="68">
        <v>3.0000000000000001E-3</v>
      </c>
      <c r="G167" s="73">
        <f t="shared" si="13"/>
        <v>1.04124E-2</v>
      </c>
      <c r="H167" s="106">
        <f>138.24*1.2</f>
        <v>165.88800000000001</v>
      </c>
      <c r="I167" s="107">
        <f t="shared" si="14"/>
        <v>1.7272922112000002</v>
      </c>
    </row>
    <row r="168" spans="1:9" x14ac:dyDescent="0.25">
      <c r="A168" s="10">
        <v>47</v>
      </c>
      <c r="B168" s="74" t="s">
        <v>106</v>
      </c>
      <c r="C168" s="122" t="s">
        <v>19</v>
      </c>
      <c r="D168" s="123"/>
      <c r="E168" s="68">
        <v>3.4708000000000001</v>
      </c>
      <c r="F168" s="68">
        <v>0.04</v>
      </c>
      <c r="G168" s="73">
        <f t="shared" si="13"/>
        <v>0.13883200000000001</v>
      </c>
      <c r="H168" s="106">
        <f>469.28*1.2</f>
        <v>563.13599999999997</v>
      </c>
      <c r="I168" s="107">
        <f t="shared" si="14"/>
        <v>78.181297151999999</v>
      </c>
    </row>
    <row r="169" spans="1:9" x14ac:dyDescent="0.25">
      <c r="A169" s="10">
        <v>48</v>
      </c>
      <c r="B169" s="74" t="s">
        <v>107</v>
      </c>
      <c r="C169" s="122" t="s">
        <v>19</v>
      </c>
      <c r="D169" s="123"/>
      <c r="E169" s="68">
        <v>3.4708000000000001</v>
      </c>
      <c r="F169" s="68">
        <v>1.08</v>
      </c>
      <c r="G169" s="73">
        <f t="shared" si="13"/>
        <v>3.7484640000000002</v>
      </c>
      <c r="H169" s="106">
        <f>275.75*1.2</f>
        <v>330.9</v>
      </c>
      <c r="I169" s="107">
        <f t="shared" si="14"/>
        <v>1240.3667376000001</v>
      </c>
    </row>
    <row r="170" spans="1:9" x14ac:dyDescent="0.25">
      <c r="A170" s="10">
        <v>49</v>
      </c>
      <c r="B170" s="74" t="s">
        <v>108</v>
      </c>
      <c r="C170" s="122" t="s">
        <v>19</v>
      </c>
      <c r="D170" s="123"/>
      <c r="E170" s="68">
        <v>3.4708000000000001</v>
      </c>
      <c r="F170" s="68">
        <f>0.56+1.28</f>
        <v>1.84</v>
      </c>
      <c r="G170" s="73">
        <f t="shared" si="13"/>
        <v>6.3862720000000008</v>
      </c>
      <c r="H170" s="106">
        <f>185.07*1.2</f>
        <v>222.08399999999997</v>
      </c>
      <c r="I170" s="107">
        <f t="shared" si="14"/>
        <v>1418.2888308480001</v>
      </c>
    </row>
    <row r="171" spans="1:9" x14ac:dyDescent="0.25">
      <c r="A171" s="10">
        <v>50</v>
      </c>
      <c r="B171" s="74" t="s">
        <v>109</v>
      </c>
      <c r="C171" s="122" t="s">
        <v>19</v>
      </c>
      <c r="D171" s="123"/>
      <c r="E171" s="68">
        <v>3.4708000000000001</v>
      </c>
      <c r="F171" s="68">
        <v>0.01</v>
      </c>
      <c r="G171" s="73">
        <f t="shared" si="13"/>
        <v>3.4708000000000003E-2</v>
      </c>
      <c r="H171" s="106">
        <f>663.39*1.2</f>
        <v>796.06799999999998</v>
      </c>
      <c r="I171" s="107">
        <f t="shared" si="14"/>
        <v>27.629928144000001</v>
      </c>
    </row>
    <row r="172" spans="1:9" x14ac:dyDescent="0.25">
      <c r="A172" s="10">
        <v>51</v>
      </c>
      <c r="B172" s="74" t="s">
        <v>110</v>
      </c>
      <c r="C172" s="122" t="s">
        <v>19</v>
      </c>
      <c r="D172" s="123"/>
      <c r="E172" s="68">
        <v>3.4708000000000001</v>
      </c>
      <c r="F172" s="68">
        <v>1.9</v>
      </c>
      <c r="G172" s="73">
        <f t="shared" si="13"/>
        <v>6.5945200000000002</v>
      </c>
      <c r="H172" s="106">
        <f>507.06*1.2</f>
        <v>608.47199999999998</v>
      </c>
      <c r="I172" s="107">
        <f t="shared" si="14"/>
        <v>4012.58077344</v>
      </c>
    </row>
    <row r="173" spans="1:9" x14ac:dyDescent="0.25">
      <c r="A173" s="10">
        <v>52</v>
      </c>
      <c r="B173" s="74" t="s">
        <v>111</v>
      </c>
      <c r="C173" s="122" t="s">
        <v>19</v>
      </c>
      <c r="D173" s="123"/>
      <c r="E173" s="68">
        <v>3.4708000000000001</v>
      </c>
      <c r="F173" s="68">
        <v>2.1</v>
      </c>
      <c r="G173" s="73">
        <f t="shared" si="13"/>
        <v>7.2886800000000003</v>
      </c>
      <c r="H173" s="106">
        <f>981.72*1.2</f>
        <v>1178.0640000000001</v>
      </c>
      <c r="I173" s="107">
        <f t="shared" si="14"/>
        <v>8586.5315155200005</v>
      </c>
    </row>
    <row r="174" spans="1:9" x14ac:dyDescent="0.25">
      <c r="A174" s="10">
        <v>53</v>
      </c>
      <c r="B174" s="74" t="s">
        <v>112</v>
      </c>
      <c r="C174" s="122" t="s">
        <v>19</v>
      </c>
      <c r="D174" s="123"/>
      <c r="E174" s="68">
        <v>3.4708000000000001</v>
      </c>
      <c r="F174" s="68">
        <v>2.1</v>
      </c>
      <c r="G174" s="73">
        <f t="shared" si="13"/>
        <v>7.2886800000000003</v>
      </c>
      <c r="H174" s="106">
        <f>296.73*1.2</f>
        <v>356.07600000000002</v>
      </c>
      <c r="I174" s="107">
        <f t="shared" si="14"/>
        <v>2595.3240196800002</v>
      </c>
    </row>
    <row r="175" spans="1:9" x14ac:dyDescent="0.25">
      <c r="A175" s="10">
        <v>54</v>
      </c>
      <c r="B175" s="74" t="s">
        <v>113</v>
      </c>
      <c r="C175" s="122" t="s">
        <v>19</v>
      </c>
      <c r="D175" s="123"/>
      <c r="E175" s="68">
        <v>3.4708000000000001</v>
      </c>
      <c r="F175" s="68">
        <v>0.88</v>
      </c>
      <c r="G175" s="73">
        <f t="shared" si="13"/>
        <v>3.0543040000000001</v>
      </c>
      <c r="H175" s="106">
        <f>164.14*1.2</f>
        <v>196.96799999999999</v>
      </c>
      <c r="I175" s="107">
        <f t="shared" si="14"/>
        <v>601.60015027199995</v>
      </c>
    </row>
    <row r="176" spans="1:9" x14ac:dyDescent="0.25">
      <c r="A176" s="10">
        <v>55</v>
      </c>
      <c r="B176" s="74" t="s">
        <v>114</v>
      </c>
      <c r="C176" s="122" t="s">
        <v>19</v>
      </c>
      <c r="D176" s="123"/>
      <c r="E176" s="68">
        <v>3.4708000000000001</v>
      </c>
      <c r="F176" s="68">
        <v>6.29</v>
      </c>
      <c r="G176" s="73">
        <f t="shared" si="13"/>
        <v>21.831332</v>
      </c>
      <c r="H176" s="106">
        <f>52.92*1.2</f>
        <v>63.503999999999998</v>
      </c>
      <c r="I176" s="107">
        <f t="shared" si="14"/>
        <v>1386.376907328</v>
      </c>
    </row>
    <row r="177" spans="1:9" x14ac:dyDescent="0.25">
      <c r="A177" s="10">
        <v>56</v>
      </c>
      <c r="B177" s="74" t="s">
        <v>115</v>
      </c>
      <c r="C177" s="122" t="s">
        <v>19</v>
      </c>
      <c r="D177" s="123"/>
      <c r="E177" s="68">
        <v>3.4708000000000001</v>
      </c>
      <c r="F177" s="68">
        <v>0.15</v>
      </c>
      <c r="G177" s="73">
        <f t="shared" si="13"/>
        <v>0.52061999999999997</v>
      </c>
      <c r="H177" s="106">
        <f>291.6*1.2</f>
        <v>349.92</v>
      </c>
      <c r="I177" s="107">
        <f t="shared" si="14"/>
        <v>182.17535039999999</v>
      </c>
    </row>
    <row r="178" spans="1:9" x14ac:dyDescent="0.25">
      <c r="A178" s="10">
        <v>57</v>
      </c>
      <c r="B178" s="74" t="s">
        <v>116</v>
      </c>
      <c r="C178" s="122" t="s">
        <v>19</v>
      </c>
      <c r="D178" s="123"/>
      <c r="E178" s="68">
        <v>3.4708000000000001</v>
      </c>
      <c r="F178" s="68">
        <v>0.33</v>
      </c>
      <c r="G178" s="73">
        <f t="shared" si="13"/>
        <v>1.145364</v>
      </c>
      <c r="H178" s="106">
        <f>199.37*1.2</f>
        <v>239.244</v>
      </c>
      <c r="I178" s="107">
        <f t="shared" si="14"/>
        <v>274.02146481599999</v>
      </c>
    </row>
    <row r="179" spans="1:9" x14ac:dyDescent="0.25">
      <c r="A179" s="10"/>
      <c r="B179" s="135" t="s">
        <v>235</v>
      </c>
      <c r="C179" s="136"/>
      <c r="D179" s="136"/>
      <c r="E179" s="136"/>
      <c r="F179" s="137"/>
      <c r="G179" s="73"/>
      <c r="H179" s="106"/>
      <c r="I179" s="107"/>
    </row>
    <row r="180" spans="1:9" x14ac:dyDescent="0.25">
      <c r="A180" s="10">
        <v>58</v>
      </c>
      <c r="B180" s="67" t="s">
        <v>117</v>
      </c>
      <c r="C180" s="122" t="s">
        <v>19</v>
      </c>
      <c r="D180" s="123"/>
      <c r="E180" s="68">
        <v>3.4708000000000001</v>
      </c>
      <c r="F180" s="68">
        <v>4.0000000000000001E-3</v>
      </c>
      <c r="G180" s="73">
        <f t="shared" si="13"/>
        <v>1.38832E-2</v>
      </c>
      <c r="H180" s="106">
        <f>4557.6*1.2</f>
        <v>5469.12</v>
      </c>
      <c r="I180" s="107">
        <f t="shared" si="14"/>
        <v>75.928886783999999</v>
      </c>
    </row>
    <row r="181" spans="1:9" x14ac:dyDescent="0.25">
      <c r="A181" s="10">
        <v>59</v>
      </c>
      <c r="B181" s="67" t="s">
        <v>81</v>
      </c>
      <c r="C181" s="122" t="s">
        <v>19</v>
      </c>
      <c r="D181" s="123"/>
      <c r="E181" s="68">
        <v>3.4708000000000001</v>
      </c>
      <c r="F181" s="68">
        <v>6.2E-2</v>
      </c>
      <c r="G181" s="73">
        <f t="shared" si="13"/>
        <v>0.21518960000000001</v>
      </c>
      <c r="H181" s="106">
        <f>118.1*1.2</f>
        <v>141.72</v>
      </c>
      <c r="I181" s="107">
        <f t="shared" si="14"/>
        <v>30.496670112</v>
      </c>
    </row>
    <row r="182" spans="1:9" ht="17.25" customHeight="1" x14ac:dyDescent="0.25">
      <c r="A182" s="10"/>
      <c r="B182" s="135" t="s">
        <v>236</v>
      </c>
      <c r="C182" s="136"/>
      <c r="D182" s="136"/>
      <c r="E182" s="136"/>
      <c r="F182" s="136"/>
      <c r="G182" s="136"/>
      <c r="H182" s="137"/>
      <c r="I182" s="107"/>
    </row>
    <row r="183" spans="1:9" x14ac:dyDescent="0.25">
      <c r="A183" s="10">
        <v>60</v>
      </c>
      <c r="B183" s="67" t="s">
        <v>118</v>
      </c>
      <c r="C183" s="122" t="s">
        <v>19</v>
      </c>
      <c r="D183" s="123"/>
      <c r="E183" s="68">
        <v>3.4708000000000001</v>
      </c>
      <c r="F183" s="68">
        <v>3.2000000000000001E-2</v>
      </c>
      <c r="G183" s="73">
        <f t="shared" si="13"/>
        <v>0.1110656</v>
      </c>
      <c r="H183" s="106">
        <f>14660*1.2</f>
        <v>17592</v>
      </c>
      <c r="I183" s="107">
        <f t="shared" si="14"/>
        <v>1953.8660351999999</v>
      </c>
    </row>
    <row r="184" spans="1:9" x14ac:dyDescent="0.25">
      <c r="A184" s="10">
        <v>61</v>
      </c>
      <c r="B184" s="67" t="s">
        <v>119</v>
      </c>
      <c r="C184" s="122" t="s">
        <v>19</v>
      </c>
      <c r="D184" s="123"/>
      <c r="E184" s="68">
        <v>3.4708000000000001</v>
      </c>
      <c r="F184" s="68">
        <v>6.0000000000000001E-3</v>
      </c>
      <c r="G184" s="73">
        <f t="shared" si="13"/>
        <v>2.0824800000000001E-2</v>
      </c>
      <c r="H184" s="106">
        <f>4557.6*1.2</f>
        <v>5469.12</v>
      </c>
      <c r="I184" s="107">
        <f t="shared" si="14"/>
        <v>113.89333017600001</v>
      </c>
    </row>
    <row r="185" spans="1:9" x14ac:dyDescent="0.25">
      <c r="A185" s="10"/>
      <c r="B185" s="74" t="s">
        <v>237</v>
      </c>
      <c r="C185" s="122"/>
      <c r="D185" s="123"/>
      <c r="E185" s="68"/>
      <c r="F185" s="68"/>
      <c r="G185" s="73"/>
      <c r="H185" s="106"/>
      <c r="I185" s="107"/>
    </row>
    <row r="186" spans="1:9" ht="22.5" x14ac:dyDescent="0.25">
      <c r="A186" s="10">
        <v>62</v>
      </c>
      <c r="B186" s="74" t="s">
        <v>120</v>
      </c>
      <c r="C186" s="122" t="s">
        <v>19</v>
      </c>
      <c r="D186" s="123"/>
      <c r="E186" s="68">
        <v>3.4708000000000001</v>
      </c>
      <c r="F186" s="68">
        <v>2.86</v>
      </c>
      <c r="G186" s="73">
        <f t="shared" si="13"/>
        <v>9.9264879999999991</v>
      </c>
      <c r="H186" s="106">
        <f>456*1.2</f>
        <v>547.19999999999993</v>
      </c>
      <c r="I186" s="107">
        <f t="shared" si="14"/>
        <v>5431.7742335999992</v>
      </c>
    </row>
    <row r="187" spans="1:9" x14ac:dyDescent="0.25">
      <c r="A187" s="10"/>
      <c r="B187" s="74" t="s">
        <v>238</v>
      </c>
      <c r="C187" s="122"/>
      <c r="D187" s="123"/>
      <c r="E187" s="68"/>
      <c r="F187" s="68"/>
      <c r="G187" s="73"/>
      <c r="H187" s="106"/>
      <c r="I187" s="107"/>
    </row>
    <row r="188" spans="1:9" ht="23.25" x14ac:dyDescent="0.25">
      <c r="A188" s="10">
        <v>63</v>
      </c>
      <c r="B188" s="141" t="s">
        <v>121</v>
      </c>
      <c r="C188" s="122" t="s">
        <v>19</v>
      </c>
      <c r="D188" s="123"/>
      <c r="E188" s="68">
        <v>3.4708000000000001</v>
      </c>
      <c r="F188" s="68">
        <v>0.31</v>
      </c>
      <c r="G188" s="73">
        <f t="shared" si="13"/>
        <v>1.0759480000000001</v>
      </c>
      <c r="H188" s="106">
        <f>798*1.2</f>
        <v>957.59999999999991</v>
      </c>
      <c r="I188" s="107">
        <f t="shared" si="14"/>
        <v>1030.3278048</v>
      </c>
    </row>
    <row r="189" spans="1:9" x14ac:dyDescent="0.25">
      <c r="A189" s="10"/>
      <c r="B189" s="109" t="s">
        <v>44</v>
      </c>
      <c r="C189" s="110"/>
      <c r="D189" s="111"/>
      <c r="E189" s="68"/>
      <c r="F189" s="68"/>
      <c r="G189" s="68"/>
      <c r="H189" s="73"/>
      <c r="I189" s="112">
        <f>SUM(I118:I188)</f>
        <v>196628.07119813666</v>
      </c>
    </row>
    <row r="190" spans="1:9" x14ac:dyDescent="0.25">
      <c r="A190" s="6"/>
      <c r="B190" s="142"/>
      <c r="C190" s="142"/>
      <c r="D190" s="142"/>
      <c r="E190" s="142"/>
      <c r="F190" s="142"/>
      <c r="G190" s="142"/>
      <c r="H190" s="142"/>
      <c r="I190" s="142"/>
    </row>
    <row r="191" spans="1:9" ht="26.25" customHeight="1" x14ac:dyDescent="0.25">
      <c r="A191" s="9"/>
      <c r="B191" s="143" t="s">
        <v>31</v>
      </c>
      <c r="C191" s="143"/>
      <c r="D191" s="143"/>
      <c r="E191" s="143"/>
      <c r="F191" s="143"/>
      <c r="G191" s="143"/>
      <c r="H191" s="143"/>
      <c r="I191" s="143"/>
    </row>
    <row r="192" spans="1:9" x14ac:dyDescent="0.25">
      <c r="A192" s="9"/>
      <c r="B192" s="83"/>
      <c r="C192" s="83"/>
      <c r="D192" s="83"/>
      <c r="E192" s="83"/>
      <c r="F192" s="83"/>
      <c r="G192" s="83"/>
      <c r="H192" s="83"/>
      <c r="I192" s="83"/>
    </row>
    <row r="193" spans="1:9" x14ac:dyDescent="0.25">
      <c r="A193" s="6"/>
      <c r="B193" s="6"/>
      <c r="C193" s="6"/>
      <c r="D193" s="6"/>
      <c r="E193" s="6"/>
      <c r="F193" s="6"/>
      <c r="G193" s="6"/>
      <c r="H193" s="6"/>
      <c r="I193" s="6"/>
    </row>
    <row r="194" spans="1:9" x14ac:dyDescent="0.25">
      <c r="A194" s="6"/>
      <c r="B194" s="6"/>
      <c r="C194" s="6"/>
      <c r="D194" s="6"/>
      <c r="E194" s="6"/>
      <c r="F194" s="6"/>
      <c r="G194" s="6"/>
      <c r="H194" s="6"/>
      <c r="I194" s="6"/>
    </row>
    <row r="195" spans="1:9" x14ac:dyDescent="0.25">
      <c r="A195" s="6"/>
      <c r="B195" s="6"/>
      <c r="C195" s="6"/>
      <c r="D195" s="6"/>
      <c r="E195" s="6"/>
      <c r="F195" s="6"/>
      <c r="G195" s="6"/>
      <c r="H195" s="6"/>
      <c r="I195" s="6"/>
    </row>
    <row r="196" spans="1:9" x14ac:dyDescent="0.25">
      <c r="A196" s="6"/>
      <c r="B196" s="6"/>
      <c r="C196" s="6"/>
      <c r="D196" s="6"/>
      <c r="E196" s="6"/>
      <c r="F196" s="6"/>
      <c r="G196" s="6"/>
      <c r="H196" s="6"/>
      <c r="I196" s="6"/>
    </row>
  </sheetData>
  <mergeCells count="149">
    <mergeCell ref="C189:D189"/>
    <mergeCell ref="C127:D127"/>
    <mergeCell ref="C128:D128"/>
    <mergeCell ref="C129:D129"/>
    <mergeCell ref="C130:D130"/>
    <mergeCell ref="C132:D132"/>
    <mergeCell ref="C133:D133"/>
    <mergeCell ref="C160:D160"/>
    <mergeCell ref="C161:D161"/>
    <mergeCell ref="C162:D162"/>
    <mergeCell ref="C143:D143"/>
    <mergeCell ref="C144:D144"/>
    <mergeCell ref="C145:D145"/>
    <mergeCell ref="C146:D146"/>
    <mergeCell ref="C148:D148"/>
    <mergeCell ref="C185:D185"/>
    <mergeCell ref="C187:D187"/>
    <mergeCell ref="C186:D186"/>
    <mergeCell ref="C188:D188"/>
    <mergeCell ref="C184:D184"/>
    <mergeCell ref="B179:F179"/>
    <mergeCell ref="B182:H182"/>
    <mergeCell ref="C159:D159"/>
    <mergeCell ref="C150:D150"/>
    <mergeCell ref="C178:D178"/>
    <mergeCell ref="C180:D180"/>
    <mergeCell ref="C181:D181"/>
    <mergeCell ref="C183:D183"/>
    <mergeCell ref="C151:D151"/>
    <mergeCell ref="C152:D152"/>
    <mergeCell ref="C153:D153"/>
    <mergeCell ref="C139:D139"/>
    <mergeCell ref="C140:D140"/>
    <mergeCell ref="C141:D141"/>
    <mergeCell ref="C142:D142"/>
    <mergeCell ref="C158:D158"/>
    <mergeCell ref="C173:D173"/>
    <mergeCell ref="C167:D167"/>
    <mergeCell ref="C34:D34"/>
    <mergeCell ref="C35:D35"/>
    <mergeCell ref="C36:D36"/>
    <mergeCell ref="C37:D37"/>
    <mergeCell ref="B27:I27"/>
    <mergeCell ref="H28:H29"/>
    <mergeCell ref="I28:I29"/>
    <mergeCell ref="B86:I86"/>
    <mergeCell ref="E115:E116"/>
    <mergeCell ref="E55:F56"/>
    <mergeCell ref="C55:D56"/>
    <mergeCell ref="B41:I41"/>
    <mergeCell ref="B115:B116"/>
    <mergeCell ref="C115:D116"/>
    <mergeCell ref="B44:E44"/>
    <mergeCell ref="B54:E54"/>
    <mergeCell ref="B60:B61"/>
    <mergeCell ref="C60:D61"/>
    <mergeCell ref="E60:E61"/>
    <mergeCell ref="F60:G60"/>
    <mergeCell ref="H60:H61"/>
    <mergeCell ref="E110:F110"/>
    <mergeCell ref="G110:I110"/>
    <mergeCell ref="B114:I114"/>
    <mergeCell ref="A115:A116"/>
    <mergeCell ref="C118:D120"/>
    <mergeCell ref="C154:D154"/>
    <mergeCell ref="C155:D155"/>
    <mergeCell ref="C156:D156"/>
    <mergeCell ref="C157:D157"/>
    <mergeCell ref="B147:G147"/>
    <mergeCell ref="C149:D149"/>
    <mergeCell ref="C134:D134"/>
    <mergeCell ref="C135:D135"/>
    <mergeCell ref="C136:D136"/>
    <mergeCell ref="C137:D137"/>
    <mergeCell ref="B117:F117"/>
    <mergeCell ref="B125:F125"/>
    <mergeCell ref="B131:F131"/>
    <mergeCell ref="C121:D121"/>
    <mergeCell ref="C122:D122"/>
    <mergeCell ref="C124:D124"/>
    <mergeCell ref="C126:D126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A55:A56"/>
    <mergeCell ref="B55:B56"/>
    <mergeCell ref="C166:D166"/>
    <mergeCell ref="G55:I56"/>
    <mergeCell ref="C30:D31"/>
    <mergeCell ref="C32:D32"/>
    <mergeCell ref="C33:D33"/>
    <mergeCell ref="C62:D64"/>
    <mergeCell ref="C65:D65"/>
    <mergeCell ref="C66:D66"/>
    <mergeCell ref="C67:D67"/>
    <mergeCell ref="C68:D68"/>
    <mergeCell ref="C57:D57"/>
    <mergeCell ref="E57:F57"/>
    <mergeCell ref="G57:I57"/>
    <mergeCell ref="B59:I59"/>
    <mergeCell ref="I60:I61"/>
    <mergeCell ref="F115:G115"/>
    <mergeCell ref="H115:H116"/>
    <mergeCell ref="I115:I116"/>
    <mergeCell ref="B107:E107"/>
    <mergeCell ref="C110:D110"/>
    <mergeCell ref="C138:D138"/>
    <mergeCell ref="A60:A61"/>
    <mergeCell ref="B191:I191"/>
    <mergeCell ref="B113:I113"/>
    <mergeCell ref="A108:A109"/>
    <mergeCell ref="B108:B109"/>
    <mergeCell ref="C108:D109"/>
    <mergeCell ref="E108:F109"/>
    <mergeCell ref="G108:I109"/>
    <mergeCell ref="C69:D69"/>
    <mergeCell ref="C70:D70"/>
    <mergeCell ref="C71:D71"/>
    <mergeCell ref="C72:D72"/>
    <mergeCell ref="B89:E89"/>
    <mergeCell ref="C176:D176"/>
    <mergeCell ref="C177:D177"/>
    <mergeCell ref="C168:D168"/>
    <mergeCell ref="C169:D169"/>
    <mergeCell ref="C170:D170"/>
    <mergeCell ref="C171:D171"/>
    <mergeCell ref="C172:D172"/>
    <mergeCell ref="C163:D163"/>
    <mergeCell ref="C164:D164"/>
    <mergeCell ref="C165:D165"/>
    <mergeCell ref="C174:D174"/>
    <mergeCell ref="C175:D175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A23" sqref="A1:D23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52" t="s">
        <v>244</v>
      </c>
      <c r="B1" s="52"/>
      <c r="C1" s="52"/>
      <c r="D1" s="52"/>
    </row>
    <row r="2" spans="1:4" ht="15.75" x14ac:dyDescent="0.25">
      <c r="A2" s="14"/>
    </row>
    <row r="3" spans="1:4" x14ac:dyDescent="0.25">
      <c r="A3" s="15" t="s">
        <v>136</v>
      </c>
      <c r="B3" s="15" t="s">
        <v>137</v>
      </c>
      <c r="C3" s="15" t="s">
        <v>139</v>
      </c>
      <c r="D3" s="15" t="s">
        <v>141</v>
      </c>
    </row>
    <row r="4" spans="1:4" x14ac:dyDescent="0.25">
      <c r="A4" s="16" t="s">
        <v>4</v>
      </c>
      <c r="B4" s="16" t="s">
        <v>152</v>
      </c>
      <c r="C4" s="16" t="s">
        <v>138</v>
      </c>
      <c r="D4" s="17">
        <f>D6+D7+D8</f>
        <v>754636.30937701685</v>
      </c>
    </row>
    <row r="5" spans="1:4" x14ac:dyDescent="0.25">
      <c r="A5" s="15"/>
      <c r="B5" s="18" t="s">
        <v>147</v>
      </c>
      <c r="C5" s="15"/>
      <c r="D5" s="15"/>
    </row>
    <row r="6" spans="1:4" ht="26.25" x14ac:dyDescent="0.25">
      <c r="A6" s="15" t="s">
        <v>143</v>
      </c>
      <c r="B6" s="19" t="s">
        <v>140</v>
      </c>
      <c r="C6" s="15" t="s">
        <v>138</v>
      </c>
      <c r="D6" s="20">
        <f>Нормы!G57</f>
        <v>294983.89393817366</v>
      </c>
    </row>
    <row r="7" spans="1:4" ht="26.25" x14ac:dyDescent="0.25">
      <c r="A7" s="15" t="s">
        <v>144</v>
      </c>
      <c r="B7" s="19" t="s">
        <v>142</v>
      </c>
      <c r="C7" s="15" t="s">
        <v>138</v>
      </c>
      <c r="D7" s="20">
        <f>Нормы!G25</f>
        <v>359169.80280351301</v>
      </c>
    </row>
    <row r="8" spans="1:4" x14ac:dyDescent="0.25">
      <c r="A8" s="15" t="s">
        <v>145</v>
      </c>
      <c r="B8" s="19" t="s">
        <v>146</v>
      </c>
      <c r="C8" s="15" t="s">
        <v>138</v>
      </c>
      <c r="D8" s="20">
        <f>Нормы!G110</f>
        <v>100482.61263533022</v>
      </c>
    </row>
    <row r="9" spans="1:4" x14ac:dyDescent="0.25">
      <c r="A9" s="16" t="s">
        <v>6</v>
      </c>
      <c r="B9" s="21" t="s">
        <v>148</v>
      </c>
      <c r="C9" s="16" t="s">
        <v>138</v>
      </c>
      <c r="D9" s="17">
        <f>D11+D12+D13</f>
        <v>214230.97382390065</v>
      </c>
    </row>
    <row r="10" spans="1:4" x14ac:dyDescent="0.25">
      <c r="A10" s="16"/>
      <c r="B10" s="18" t="s">
        <v>147</v>
      </c>
      <c r="C10" s="16"/>
      <c r="D10" s="17"/>
    </row>
    <row r="11" spans="1:4" ht="26.25" x14ac:dyDescent="0.25">
      <c r="A11" s="15" t="s">
        <v>149</v>
      </c>
      <c r="B11" s="19" t="s">
        <v>140</v>
      </c>
      <c r="C11" s="15" t="s">
        <v>138</v>
      </c>
      <c r="D11" s="20">
        <f>Нормы!I72</f>
        <v>15277.63016986</v>
      </c>
    </row>
    <row r="12" spans="1:4" ht="26.25" x14ac:dyDescent="0.25">
      <c r="A12" s="15" t="s">
        <v>150</v>
      </c>
      <c r="B12" s="19" t="s">
        <v>142</v>
      </c>
      <c r="C12" s="15" t="s">
        <v>138</v>
      </c>
      <c r="D12" s="20">
        <f>Нормы!I37</f>
        <v>2325.2724559040003</v>
      </c>
    </row>
    <row r="13" spans="1:4" x14ac:dyDescent="0.25">
      <c r="A13" s="22" t="s">
        <v>151</v>
      </c>
      <c r="B13" s="19" t="s">
        <v>146</v>
      </c>
      <c r="C13" s="15" t="s">
        <v>138</v>
      </c>
      <c r="D13" s="20">
        <f>Нормы!I189</f>
        <v>196628.07119813666</v>
      </c>
    </row>
    <row r="14" spans="1:4" x14ac:dyDescent="0.25">
      <c r="A14" s="23" t="s">
        <v>7</v>
      </c>
      <c r="B14" s="16" t="s">
        <v>153</v>
      </c>
      <c r="C14" s="16" t="s">
        <v>138</v>
      </c>
      <c r="D14" s="17">
        <f>D4*0.302</f>
        <v>227900.16543185909</v>
      </c>
    </row>
    <row r="15" spans="1:4" x14ac:dyDescent="0.25">
      <c r="A15" s="23" t="s">
        <v>208</v>
      </c>
      <c r="B15" s="21" t="s">
        <v>174</v>
      </c>
      <c r="C15" s="16" t="s">
        <v>138</v>
      </c>
      <c r="D15" s="17">
        <f>D4*0.28</f>
        <v>211298.16662556474</v>
      </c>
    </row>
    <row r="16" spans="1:4" ht="30" x14ac:dyDescent="0.25">
      <c r="A16" s="16" t="s">
        <v>9</v>
      </c>
      <c r="B16" s="21" t="s">
        <v>211</v>
      </c>
      <c r="C16" s="16" t="s">
        <v>138</v>
      </c>
      <c r="D16" s="17">
        <f>D4*0.3</f>
        <v>226390.89281310505</v>
      </c>
    </row>
    <row r="17" spans="1:4" x14ac:dyDescent="0.25">
      <c r="A17" s="15"/>
      <c r="B17" s="15" t="s">
        <v>154</v>
      </c>
      <c r="C17" s="15" t="s">
        <v>138</v>
      </c>
      <c r="D17" s="20">
        <f>D4+D9+D14+D15+D16</f>
        <v>1634456.5080714466</v>
      </c>
    </row>
    <row r="18" spans="1:4" x14ac:dyDescent="0.25">
      <c r="A18" s="23" t="s">
        <v>212</v>
      </c>
      <c r="B18" s="16" t="s">
        <v>239</v>
      </c>
      <c r="C18" s="16" t="s">
        <v>138</v>
      </c>
      <c r="D18" s="17">
        <f>D17*0.1</f>
        <v>163445.65080714467</v>
      </c>
    </row>
    <row r="19" spans="1:4" x14ac:dyDescent="0.25">
      <c r="A19" s="15"/>
      <c r="B19" s="15" t="s">
        <v>213</v>
      </c>
      <c r="C19" s="15" t="s">
        <v>138</v>
      </c>
      <c r="D19" s="20">
        <f>D17+D18</f>
        <v>1797902.1588785911</v>
      </c>
    </row>
    <row r="20" spans="1:4" x14ac:dyDescent="0.25">
      <c r="A20" s="15"/>
      <c r="B20" s="15" t="s">
        <v>155</v>
      </c>
      <c r="C20" s="15" t="s">
        <v>2</v>
      </c>
      <c r="D20" s="41">
        <v>3470.8</v>
      </c>
    </row>
    <row r="21" spans="1:4" x14ac:dyDescent="0.25">
      <c r="A21" s="15"/>
      <c r="B21" s="16" t="s">
        <v>173</v>
      </c>
      <c r="C21" s="16" t="s">
        <v>156</v>
      </c>
      <c r="D21" s="17">
        <f>D19/12/D20</f>
        <v>43.167333152745549</v>
      </c>
    </row>
    <row r="22" spans="1:4" x14ac:dyDescent="0.25">
      <c r="A22" s="13"/>
      <c r="B22" s="13"/>
      <c r="C22" s="13"/>
      <c r="D22" s="13"/>
    </row>
    <row r="23" spans="1:4" x14ac:dyDescent="0.25">
      <c r="A23" s="13"/>
      <c r="B23" s="13"/>
      <c r="C23" s="13"/>
      <c r="D23" s="13"/>
    </row>
    <row r="24" spans="1:4" x14ac:dyDescent="0.25">
      <c r="A24" s="13"/>
      <c r="B24" s="13"/>
      <c r="C24" s="13"/>
      <c r="D24" s="13"/>
    </row>
    <row r="25" spans="1:4" x14ac:dyDescent="0.25">
      <c r="A25" s="13"/>
      <c r="B25" s="13"/>
      <c r="C25" s="13"/>
      <c r="D25" s="13"/>
    </row>
    <row r="26" spans="1:4" x14ac:dyDescent="0.25">
      <c r="A26" s="13"/>
      <c r="B26" s="13"/>
      <c r="C26" s="13"/>
      <c r="D26" s="13"/>
    </row>
    <row r="27" spans="1:4" x14ac:dyDescent="0.25">
      <c r="A27" s="13"/>
      <c r="B27" s="13"/>
      <c r="C27" s="13"/>
      <c r="D27" s="13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2022-12-29T03:07:19Z</dcterms:modified>
</cp:coreProperties>
</file>